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24226"/>
  <mc:AlternateContent xmlns:mc="http://schemas.openxmlformats.org/markup-compatibility/2006">
    <mc:Choice Requires="x15">
      <x15ac:absPath xmlns:x15ac="http://schemas.microsoft.com/office/spreadsheetml/2010/11/ac" url="https://d.docs.live.net/1fe7146f54670142/_INNOKAS/_Cotton 2024/Critical Period/"/>
    </mc:Choice>
  </mc:AlternateContent>
  <xr:revisionPtr revIDLastSave="8" documentId="8_{2C37113C-8327-4641-AD4B-3D64359D0582}" xr6:coauthVersionLast="47" xr6:coauthVersionMax="47" xr10:uidLastSave="{00F28420-6B4E-49B0-BDCE-E0229473CE77}"/>
  <bookViews>
    <workbookView xWindow="-120" yWindow="-120" windowWidth="38640" windowHeight="21120" xr2:uid="{00000000-000D-0000-FFFF-FFFF00000000}"/>
  </bookViews>
  <sheets>
    <sheet name="Information" sheetId="35" r:id="rId1"/>
    <sheet name="Front Page" sheetId="25" r:id="rId2"/>
    <sheet name="GrowthEqns" sheetId="34" state="hidden" r:id="rId3"/>
    <sheet name="Herbicides" sheetId="32" state="hidden" r:id="rId4"/>
    <sheet name="ChartData" sheetId="31" state="hidden" r:id="rId5"/>
    <sheet name="Equations" sheetId="29" state="hidden" r:id="rId6"/>
    <sheet name="Models" sheetId="30" state="hidden" r:id="rId7"/>
  </sheets>
  <definedNames>
    <definedName name="Table_herbicides">Table1[]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5" i="31" l="1"/>
  <c r="C22" i="29"/>
  <c r="F15" i="25"/>
  <c r="I30" i="30"/>
  <c r="I29" i="30"/>
  <c r="I27" i="30"/>
  <c r="I26" i="30"/>
  <c r="I28" i="30"/>
  <c r="I25" i="30"/>
  <c r="AH3" i="31"/>
  <c r="AH4" i="31"/>
  <c r="AH5" i="31"/>
  <c r="AH6" i="31"/>
  <c r="AH7" i="31"/>
  <c r="AH8" i="31"/>
  <c r="AH9" i="31"/>
  <c r="AH10" i="31"/>
  <c r="AH11" i="31"/>
  <c r="AH12" i="31"/>
  <c r="AH13" i="31"/>
  <c r="AH14" i="31"/>
  <c r="AH15" i="31"/>
  <c r="AH16" i="31"/>
  <c r="AH17" i="31"/>
  <c r="AH18" i="31"/>
  <c r="AH19" i="31"/>
  <c r="AH20" i="31"/>
  <c r="AH21" i="31"/>
  <c r="AH22" i="31"/>
  <c r="AH23" i="31"/>
  <c r="AH24" i="31"/>
  <c r="AH25" i="31"/>
  <c r="AH26" i="31"/>
  <c r="AH27" i="31"/>
  <c r="AH28" i="31"/>
  <c r="AH29" i="31"/>
  <c r="AH30" i="31"/>
  <c r="AH31" i="31"/>
  <c r="AH32" i="31"/>
  <c r="AH33" i="31"/>
  <c r="AH34" i="31"/>
  <c r="AH35" i="31"/>
  <c r="AH36" i="31"/>
  <c r="AH37" i="31"/>
  <c r="AH38" i="31"/>
  <c r="AH39" i="31"/>
  <c r="AH40" i="31"/>
  <c r="AH41" i="31"/>
  <c r="AH42" i="31"/>
  <c r="AH43" i="31"/>
  <c r="AH44" i="31"/>
  <c r="AH45" i="31"/>
  <c r="AH46" i="31"/>
  <c r="AH47" i="31"/>
  <c r="AH48" i="31"/>
  <c r="AH49" i="31"/>
  <c r="AH50" i="31"/>
  <c r="AH51" i="31"/>
  <c r="AH52" i="31"/>
  <c r="AH53" i="31"/>
  <c r="AH54" i="31"/>
  <c r="AH55" i="31"/>
  <c r="AH56" i="31"/>
  <c r="AH57" i="31"/>
  <c r="AH58" i="31"/>
  <c r="AH59" i="31"/>
  <c r="AH60" i="31"/>
  <c r="AH61" i="31"/>
  <c r="AH62" i="31"/>
  <c r="AH63" i="31"/>
  <c r="AH64" i="31"/>
  <c r="AH65" i="31"/>
  <c r="AH66" i="31"/>
  <c r="AH67" i="31"/>
  <c r="AH68" i="31"/>
  <c r="AH2" i="31"/>
  <c r="B16" i="34"/>
  <c r="B39" i="34" s="1"/>
  <c r="B11" i="34" l="1"/>
  <c r="A2" i="31"/>
  <c r="A4" i="31" s="1"/>
  <c r="A11" i="31"/>
  <c r="F13" i="25" s="1"/>
  <c r="I21" i="30"/>
  <c r="I20" i="30"/>
  <c r="I19" i="30"/>
  <c r="I18" i="30"/>
  <c r="I17" i="30"/>
  <c r="I16" i="30"/>
  <c r="E5" i="25"/>
  <c r="F2" i="32"/>
  <c r="F3" i="32"/>
  <c r="F4" i="32"/>
  <c r="F5" i="32"/>
  <c r="F6" i="32"/>
  <c r="F7" i="32"/>
  <c r="F8" i="32"/>
  <c r="F9" i="32"/>
  <c r="F10" i="32"/>
  <c r="F11" i="32"/>
  <c r="F12" i="32"/>
  <c r="F13" i="32"/>
  <c r="F14" i="32"/>
  <c r="F15" i="32"/>
  <c r="F16" i="32"/>
  <c r="F17" i="32"/>
  <c r="F18" i="32"/>
  <c r="F19" i="32"/>
  <c r="F20" i="32"/>
  <c r="F21" i="32"/>
  <c r="F22" i="32"/>
  <c r="F23" i="32"/>
  <c r="F24" i="32"/>
  <c r="F25" i="32"/>
  <c r="F26" i="32"/>
  <c r="F27" i="32"/>
  <c r="F28" i="32"/>
  <c r="F29" i="32"/>
  <c r="F30" i="32"/>
  <c r="F31" i="32"/>
  <c r="F32" i="32"/>
  <c r="F33" i="32"/>
  <c r="F34" i="32"/>
  <c r="F35" i="32"/>
  <c r="E3" i="30"/>
  <c r="H39" i="31" s="1"/>
  <c r="B5" i="30"/>
  <c r="B4" i="30"/>
  <c r="C4" i="29"/>
  <c r="F26" i="25"/>
  <c r="F25" i="25"/>
  <c r="F24" i="25"/>
  <c r="E24" i="25"/>
  <c r="E25" i="25"/>
  <c r="E27" i="25" s="1"/>
  <c r="C25" i="25"/>
  <c r="C24" i="25"/>
  <c r="B19" i="29"/>
  <c r="B15" i="29"/>
  <c r="B14" i="29"/>
  <c r="D4" i="29"/>
  <c r="D7" i="29" s="1"/>
  <c r="B4" i="29"/>
  <c r="B17" i="29" l="1"/>
  <c r="E29" i="25"/>
  <c r="H32" i="31"/>
  <c r="H7" i="31"/>
  <c r="X21" i="31"/>
  <c r="AT11" i="31"/>
  <c r="AT27" i="31"/>
  <c r="AT43" i="31"/>
  <c r="AT59" i="31"/>
  <c r="AR9" i="31"/>
  <c r="AR25" i="31"/>
  <c r="AR41" i="31"/>
  <c r="AR57" i="31"/>
  <c r="AP7" i="31"/>
  <c r="AP23" i="31"/>
  <c r="AP39" i="31"/>
  <c r="AP55" i="31"/>
  <c r="AN5" i="31"/>
  <c r="AN21" i="31"/>
  <c r="AN37" i="31"/>
  <c r="AN53" i="31"/>
  <c r="AN3" i="31"/>
  <c r="AL19" i="31"/>
  <c r="AL35" i="31"/>
  <c r="AL51" i="31"/>
  <c r="AL67" i="31"/>
  <c r="AJ17" i="31"/>
  <c r="AJ33" i="31"/>
  <c r="AJ49" i="31"/>
  <c r="AJ65" i="31"/>
  <c r="AS9" i="31"/>
  <c r="AS25" i="31"/>
  <c r="AS41" i="31"/>
  <c r="AS57" i="31"/>
  <c r="AQ7" i="31"/>
  <c r="AQ23" i="31"/>
  <c r="AQ39" i="31"/>
  <c r="AQ55" i="31"/>
  <c r="AO5" i="31"/>
  <c r="AO21" i="31"/>
  <c r="AO37" i="31"/>
  <c r="AO53" i="31"/>
  <c r="AO3" i="31"/>
  <c r="AM19" i="31"/>
  <c r="AM35" i="31"/>
  <c r="AM51" i="31"/>
  <c r="AM67" i="31"/>
  <c r="AK17" i="31"/>
  <c r="AK33" i="31"/>
  <c r="AK49" i="31"/>
  <c r="AK65" i="31"/>
  <c r="AI15" i="31"/>
  <c r="AI31" i="31"/>
  <c r="AI47" i="31"/>
  <c r="AI63" i="31"/>
  <c r="AT47" i="31"/>
  <c r="AR45" i="31"/>
  <c r="AP59" i="31"/>
  <c r="AL23" i="31"/>
  <c r="AJ21" i="31"/>
  <c r="AS29" i="31"/>
  <c r="AQ43" i="31"/>
  <c r="AO57" i="31"/>
  <c r="AK5" i="31"/>
  <c r="AK3" i="31"/>
  <c r="AP29" i="31"/>
  <c r="AJ7" i="31"/>
  <c r="AS31" i="31"/>
  <c r="AQ45" i="31"/>
  <c r="AO43" i="31"/>
  <c r="AK7" i="31"/>
  <c r="AI37" i="31"/>
  <c r="AL43" i="31"/>
  <c r="AQ31" i="31"/>
  <c r="D31" i="31" s="1"/>
  <c r="AO61" i="31"/>
  <c r="AK25" i="31"/>
  <c r="AT12" i="31"/>
  <c r="AT28" i="31"/>
  <c r="AT44" i="31"/>
  <c r="AT60" i="31"/>
  <c r="AR10" i="31"/>
  <c r="AR26" i="31"/>
  <c r="AR42" i="31"/>
  <c r="AR58" i="31"/>
  <c r="AP8" i="31"/>
  <c r="AP24" i="31"/>
  <c r="AP40" i="31"/>
  <c r="AP56" i="31"/>
  <c r="AN6" i="31"/>
  <c r="AN22" i="31"/>
  <c r="AN38" i="31"/>
  <c r="AN54" i="31"/>
  <c r="AL4" i="31"/>
  <c r="AL20" i="31"/>
  <c r="AL36" i="31"/>
  <c r="AL52" i="31"/>
  <c r="AL68" i="31"/>
  <c r="AJ18" i="31"/>
  <c r="AJ34" i="31"/>
  <c r="AJ50" i="31"/>
  <c r="AJ66" i="31"/>
  <c r="AS10" i="31"/>
  <c r="AS26" i="31"/>
  <c r="AS42" i="31"/>
  <c r="AS58" i="31"/>
  <c r="AQ8" i="31"/>
  <c r="AQ24" i="31"/>
  <c r="AQ40" i="31"/>
  <c r="AQ56" i="31"/>
  <c r="AO6" i="31"/>
  <c r="AO22" i="31"/>
  <c r="AO38" i="31"/>
  <c r="AO54" i="31"/>
  <c r="AM4" i="31"/>
  <c r="AM20" i="31"/>
  <c r="AM36" i="31"/>
  <c r="AM52" i="31"/>
  <c r="AM68" i="31"/>
  <c r="AK18" i="31"/>
  <c r="AK34" i="31"/>
  <c r="AK50" i="31"/>
  <c r="AK66" i="31"/>
  <c r="AI16" i="31"/>
  <c r="AI32" i="31"/>
  <c r="AI48" i="31"/>
  <c r="AI64" i="31"/>
  <c r="AT15" i="31"/>
  <c r="AR61" i="31"/>
  <c r="AN9" i="31"/>
  <c r="AN57" i="31"/>
  <c r="AJ5" i="31"/>
  <c r="AJ3" i="31"/>
  <c r="AS61" i="31"/>
  <c r="AQ59" i="31"/>
  <c r="AO41" i="31"/>
  <c r="AM39" i="31"/>
  <c r="AK53" i="31"/>
  <c r="AI35" i="31"/>
  <c r="AT65" i="31"/>
  <c r="AR31" i="31"/>
  <c r="AR63" i="31"/>
  <c r="AP61" i="31"/>
  <c r="AN43" i="31"/>
  <c r="AL57" i="31"/>
  <c r="AJ39" i="31"/>
  <c r="AS15" i="31"/>
  <c r="AQ29" i="31"/>
  <c r="AO27" i="31"/>
  <c r="AM41" i="31"/>
  <c r="AK39" i="31"/>
  <c r="AK55" i="31"/>
  <c r="AL11" i="31"/>
  <c r="AJ57" i="31"/>
  <c r="AS49" i="31"/>
  <c r="AQ47" i="31"/>
  <c r="AM11" i="31"/>
  <c r="AK9" i="31"/>
  <c r="AT13" i="31"/>
  <c r="AT29" i="31"/>
  <c r="AT45" i="31"/>
  <c r="AT61" i="31"/>
  <c r="AR11" i="31"/>
  <c r="AR27" i="31"/>
  <c r="AR43" i="31"/>
  <c r="AR59" i="31"/>
  <c r="AP9" i="31"/>
  <c r="AP25" i="31"/>
  <c r="AP41" i="31"/>
  <c r="AP57" i="31"/>
  <c r="AN7" i="31"/>
  <c r="AN23" i="31"/>
  <c r="AN39" i="31"/>
  <c r="AN55" i="31"/>
  <c r="AL5" i="31"/>
  <c r="AL21" i="31"/>
  <c r="AL37" i="31"/>
  <c r="AL53" i="31"/>
  <c r="AL3" i="31"/>
  <c r="AJ19" i="31"/>
  <c r="AJ35" i="31"/>
  <c r="AJ51" i="31"/>
  <c r="AJ67" i="31"/>
  <c r="AS11" i="31"/>
  <c r="AS27" i="31"/>
  <c r="AS43" i="31"/>
  <c r="AS59" i="31"/>
  <c r="AQ9" i="31"/>
  <c r="AQ25" i="31"/>
  <c r="AQ41" i="31"/>
  <c r="AQ57" i="31"/>
  <c r="AO7" i="31"/>
  <c r="AO23" i="31"/>
  <c r="AO39" i="31"/>
  <c r="AO55" i="31"/>
  <c r="AM5" i="31"/>
  <c r="AM21" i="31"/>
  <c r="AM37" i="31"/>
  <c r="AM53" i="31"/>
  <c r="AM3" i="31"/>
  <c r="AK19" i="31"/>
  <c r="AK35" i="31"/>
  <c r="AK51" i="31"/>
  <c r="AK67" i="31"/>
  <c r="AI17" i="31"/>
  <c r="AI33" i="31"/>
  <c r="AI49" i="31"/>
  <c r="AI65" i="31"/>
  <c r="AP11" i="31"/>
  <c r="AN25" i="31"/>
  <c r="AL55" i="31"/>
  <c r="AS13" i="31"/>
  <c r="AQ11" i="31"/>
  <c r="AO25" i="31"/>
  <c r="AM23" i="31"/>
  <c r="AK21" i="31"/>
  <c r="AI19" i="31"/>
  <c r="AR15" i="31"/>
  <c r="AR47" i="31"/>
  <c r="AP45" i="31"/>
  <c r="AN27" i="31"/>
  <c r="AL25" i="31"/>
  <c r="AJ23" i="31"/>
  <c r="AQ13" i="31"/>
  <c r="AO11" i="31"/>
  <c r="AM9" i="31"/>
  <c r="AK23" i="31"/>
  <c r="AI21" i="31"/>
  <c r="AL27" i="31"/>
  <c r="AJ41" i="31"/>
  <c r="AS33" i="31"/>
  <c r="AS65" i="31"/>
  <c r="AQ63" i="31"/>
  <c r="AM43" i="31"/>
  <c r="AK41" i="31"/>
  <c r="AI55" i="31"/>
  <c r="AT14" i="31"/>
  <c r="AT30" i="31"/>
  <c r="AT46" i="31"/>
  <c r="AT62" i="31"/>
  <c r="AR12" i="31"/>
  <c r="AR28" i="31"/>
  <c r="AR44" i="31"/>
  <c r="AR60" i="31"/>
  <c r="AP10" i="31"/>
  <c r="AP26" i="31"/>
  <c r="AP42" i="31"/>
  <c r="AP58" i="31"/>
  <c r="AN8" i="31"/>
  <c r="AN24" i="31"/>
  <c r="AN40" i="31"/>
  <c r="AN56" i="31"/>
  <c r="AL6" i="31"/>
  <c r="AL22" i="31"/>
  <c r="AL38" i="31"/>
  <c r="AL54" i="31"/>
  <c r="AJ4" i="31"/>
  <c r="AJ20" i="31"/>
  <c r="AJ36" i="31"/>
  <c r="AJ52" i="31"/>
  <c r="AJ68" i="31"/>
  <c r="AS12" i="31"/>
  <c r="AS28" i="31"/>
  <c r="AS44" i="31"/>
  <c r="AS60" i="31"/>
  <c r="AQ10" i="31"/>
  <c r="AQ26" i="31"/>
  <c r="AQ42" i="31"/>
  <c r="AQ58" i="31"/>
  <c r="AO8" i="31"/>
  <c r="AO24" i="31"/>
  <c r="AO40" i="31"/>
  <c r="AO56" i="31"/>
  <c r="AM6" i="31"/>
  <c r="AM22" i="31"/>
  <c r="AM38" i="31"/>
  <c r="AM54" i="31"/>
  <c r="AK4" i="31"/>
  <c r="AK20" i="31"/>
  <c r="AK36" i="31"/>
  <c r="AK52" i="31"/>
  <c r="AK68" i="31"/>
  <c r="AI18" i="31"/>
  <c r="AI34" i="31"/>
  <c r="AI50" i="31"/>
  <c r="AI66" i="31"/>
  <c r="AT31" i="31"/>
  <c r="AP43" i="31"/>
  <c r="AN41" i="31"/>
  <c r="AL39" i="31"/>
  <c r="AJ37" i="31"/>
  <c r="AS45" i="31"/>
  <c r="AO9" i="31"/>
  <c r="AM7" i="31"/>
  <c r="AK37" i="31"/>
  <c r="AI51" i="31"/>
  <c r="AT33" i="31"/>
  <c r="AP13" i="31"/>
  <c r="AN11" i="31"/>
  <c r="AL9" i="31"/>
  <c r="AJ55" i="31"/>
  <c r="AQ61" i="31"/>
  <c r="AM57" i="31"/>
  <c r="AI5" i="31"/>
  <c r="AL59" i="31"/>
  <c r="AS17" i="31"/>
  <c r="AQ15" i="31"/>
  <c r="AO29" i="31"/>
  <c r="AM59" i="31"/>
  <c r="AI7" i="31"/>
  <c r="AT63" i="31"/>
  <c r="AR13" i="31"/>
  <c r="AR29" i="31"/>
  <c r="AP27" i="31"/>
  <c r="AL7" i="31"/>
  <c r="AJ53" i="31"/>
  <c r="AQ27" i="31"/>
  <c r="AM55" i="31"/>
  <c r="AI67" i="31"/>
  <c r="AT49" i="31"/>
  <c r="AL41" i="31"/>
  <c r="AS63" i="31"/>
  <c r="AM25" i="31"/>
  <c r="AI3" i="31"/>
  <c r="AJ25" i="31"/>
  <c r="AO45" i="31"/>
  <c r="AI39" i="31"/>
  <c r="AT16" i="31"/>
  <c r="AT32" i="31"/>
  <c r="AT48" i="31"/>
  <c r="AT64" i="31"/>
  <c r="AR14" i="31"/>
  <c r="AR30" i="31"/>
  <c r="AR46" i="31"/>
  <c r="AR62" i="31"/>
  <c r="AP12" i="31"/>
  <c r="AP28" i="31"/>
  <c r="AP44" i="31"/>
  <c r="AP60" i="31"/>
  <c r="AN10" i="31"/>
  <c r="AN26" i="31"/>
  <c r="AN42" i="31"/>
  <c r="AN58" i="31"/>
  <c r="AL8" i="31"/>
  <c r="AL24" i="31"/>
  <c r="AL40" i="31"/>
  <c r="AL56" i="31"/>
  <c r="AJ6" i="31"/>
  <c r="AJ22" i="31"/>
  <c r="AJ38" i="31"/>
  <c r="AJ54" i="31"/>
  <c r="AS14" i="31"/>
  <c r="AS30" i="31"/>
  <c r="AS46" i="31"/>
  <c r="AS62" i="31"/>
  <c r="AQ12" i="31"/>
  <c r="AQ28" i="31"/>
  <c r="AQ44" i="31"/>
  <c r="AQ60" i="31"/>
  <c r="AO10" i="31"/>
  <c r="AO26" i="31"/>
  <c r="AO42" i="31"/>
  <c r="AO58" i="31"/>
  <c r="AM8" i="31"/>
  <c r="AM24" i="31"/>
  <c r="AM40" i="31"/>
  <c r="AM56" i="31"/>
  <c r="AK6" i="31"/>
  <c r="AK22" i="31"/>
  <c r="AK38" i="31"/>
  <c r="AK54" i="31"/>
  <c r="AI4" i="31"/>
  <c r="AI20" i="31"/>
  <c r="AI36" i="31"/>
  <c r="AI52" i="31"/>
  <c r="AI68" i="31"/>
  <c r="AT17" i="31"/>
  <c r="AN59" i="31"/>
  <c r="AS47" i="31"/>
  <c r="AO59" i="31"/>
  <c r="AI53" i="31"/>
  <c r="AJ9" i="31"/>
  <c r="AO13" i="31"/>
  <c r="AK57" i="31"/>
  <c r="AM27" i="31"/>
  <c r="AT18" i="31"/>
  <c r="AT34" i="31"/>
  <c r="AT50" i="31"/>
  <c r="AT66" i="31"/>
  <c r="AR16" i="31"/>
  <c r="AR32" i="31"/>
  <c r="AR48" i="31"/>
  <c r="AR64" i="31"/>
  <c r="AP14" i="31"/>
  <c r="AP30" i="31"/>
  <c r="AP46" i="31"/>
  <c r="AP62" i="31"/>
  <c r="AN12" i="31"/>
  <c r="AN28" i="31"/>
  <c r="AN44" i="31"/>
  <c r="AN60" i="31"/>
  <c r="AL10" i="31"/>
  <c r="AL26" i="31"/>
  <c r="AL42" i="31"/>
  <c r="AL58" i="31"/>
  <c r="AJ8" i="31"/>
  <c r="AJ24" i="31"/>
  <c r="AJ40" i="31"/>
  <c r="AJ56" i="31"/>
  <c r="AS16" i="31"/>
  <c r="AS32" i="31"/>
  <c r="AS48" i="31"/>
  <c r="AS64" i="31"/>
  <c r="AQ14" i="31"/>
  <c r="AQ30" i="31"/>
  <c r="AQ46" i="31"/>
  <c r="AQ62" i="31"/>
  <c r="AO12" i="31"/>
  <c r="AO28" i="31"/>
  <c r="AO44" i="31"/>
  <c r="AO60" i="31"/>
  <c r="AM10" i="31"/>
  <c r="AM26" i="31"/>
  <c r="AM42" i="31"/>
  <c r="AM58" i="31"/>
  <c r="AK8" i="31"/>
  <c r="AK24" i="31"/>
  <c r="AK40" i="31"/>
  <c r="AK56" i="31"/>
  <c r="AI6" i="31"/>
  <c r="AI22" i="31"/>
  <c r="AI38" i="31"/>
  <c r="AI54" i="31"/>
  <c r="AT19" i="31"/>
  <c r="AT35" i="31"/>
  <c r="AT51" i="31"/>
  <c r="AT67" i="31"/>
  <c r="AR17" i="31"/>
  <c r="AR33" i="31"/>
  <c r="AR49" i="31"/>
  <c r="AR65" i="31"/>
  <c r="AP15" i="31"/>
  <c r="AP31" i="31"/>
  <c r="AP47" i="31"/>
  <c r="AP63" i="31"/>
  <c r="AN13" i="31"/>
  <c r="AN29" i="31"/>
  <c r="AN45" i="31"/>
  <c r="AN61" i="31"/>
  <c r="AT8" i="31"/>
  <c r="AT24" i="31"/>
  <c r="AT40" i="31"/>
  <c r="AT56" i="31"/>
  <c r="AR6" i="31"/>
  <c r="AR22" i="31"/>
  <c r="AR38" i="31"/>
  <c r="AR54" i="31"/>
  <c r="AP4" i="31"/>
  <c r="AP20" i="31"/>
  <c r="AP36" i="31"/>
  <c r="AP52" i="31"/>
  <c r="AP68" i="31"/>
  <c r="AN18" i="31"/>
  <c r="AN34" i="31"/>
  <c r="AN50" i="31"/>
  <c r="AN66" i="31"/>
  <c r="AL16" i="31"/>
  <c r="AL32" i="31"/>
  <c r="AL48" i="31"/>
  <c r="AL64" i="31"/>
  <c r="AJ14" i="31"/>
  <c r="AJ30" i="31"/>
  <c r="AJ46" i="31"/>
  <c r="AJ62" i="31"/>
  <c r="AS6" i="31"/>
  <c r="AS22" i="31"/>
  <c r="AS38" i="31"/>
  <c r="AS54" i="31"/>
  <c r="AQ4" i="31"/>
  <c r="AQ20" i="31"/>
  <c r="AQ36" i="31"/>
  <c r="AQ52" i="31"/>
  <c r="AQ68" i="31"/>
  <c r="AO18" i="31"/>
  <c r="AO34" i="31"/>
  <c r="AO50" i="31"/>
  <c r="AO66" i="31"/>
  <c r="AM16" i="31"/>
  <c r="AM32" i="31"/>
  <c r="AM48" i="31"/>
  <c r="AM64" i="31"/>
  <c r="AK14" i="31"/>
  <c r="AK30" i="31"/>
  <c r="AK46" i="31"/>
  <c r="AK62" i="31"/>
  <c r="AI12" i="31"/>
  <c r="AI28" i="31"/>
  <c r="AI44" i="31"/>
  <c r="AI60" i="31"/>
  <c r="AT9" i="31"/>
  <c r="AT54" i="31"/>
  <c r="AR34" i="31"/>
  <c r="AP5" i="31"/>
  <c r="AP50" i="31"/>
  <c r="AN30" i="31"/>
  <c r="AN67" i="31"/>
  <c r="AL46" i="31"/>
  <c r="AJ26" i="31"/>
  <c r="AJ63" i="31"/>
  <c r="AS36" i="31"/>
  <c r="AQ16" i="31"/>
  <c r="AQ53" i="31"/>
  <c r="AO32" i="31"/>
  <c r="AM12" i="31"/>
  <c r="AM49" i="31"/>
  <c r="AK28" i="31"/>
  <c r="AI8" i="31"/>
  <c r="AI43" i="31"/>
  <c r="AQ65" i="31"/>
  <c r="AI56" i="31"/>
  <c r="AT68" i="31"/>
  <c r="AS50" i="31"/>
  <c r="AM62" i="31"/>
  <c r="AI57" i="31"/>
  <c r="AT3" i="31"/>
  <c r="AL15" i="31"/>
  <c r="AQ22" i="31"/>
  <c r="AM63" i="31"/>
  <c r="AR4" i="31"/>
  <c r="AP66" i="31"/>
  <c r="AJ42" i="31"/>
  <c r="AQ32" i="31"/>
  <c r="AI23" i="31"/>
  <c r="AM29" i="31"/>
  <c r="AS55" i="31"/>
  <c r="AP33" i="31"/>
  <c r="AQ35" i="31"/>
  <c r="AS20" i="31"/>
  <c r="AI27" i="31"/>
  <c r="AN15" i="31"/>
  <c r="AO63" i="31"/>
  <c r="AN62" i="31"/>
  <c r="AM44" i="31"/>
  <c r="AN63" i="31"/>
  <c r="AO65" i="31"/>
  <c r="AJ15" i="31"/>
  <c r="AK26" i="31"/>
  <c r="AN65" i="31"/>
  <c r="AK27" i="31"/>
  <c r="AT10" i="31"/>
  <c r="AT55" i="31"/>
  <c r="AR35" i="31"/>
  <c r="AP6" i="31"/>
  <c r="AP51" i="31"/>
  <c r="AN31" i="31"/>
  <c r="AN68" i="31"/>
  <c r="AL47" i="31"/>
  <c r="AJ27" i="31"/>
  <c r="AJ64" i="31"/>
  <c r="AS37" i="31"/>
  <c r="AQ17" i="31"/>
  <c r="AQ54" i="31"/>
  <c r="AO33" i="31"/>
  <c r="AM13" i="31"/>
  <c r="AM50" i="31"/>
  <c r="AK29" i="31"/>
  <c r="AI9" i="31"/>
  <c r="AI45" i="31"/>
  <c r="AT21" i="31"/>
  <c r="AT58" i="31"/>
  <c r="AR37" i="31"/>
  <c r="AP17" i="31"/>
  <c r="AP54" i="31"/>
  <c r="AN33" i="31"/>
  <c r="AL50" i="31"/>
  <c r="AJ29" i="31"/>
  <c r="AQ19" i="31"/>
  <c r="AM15" i="31"/>
  <c r="AK32" i="31"/>
  <c r="AQ66" i="31"/>
  <c r="AT23" i="31"/>
  <c r="AR40" i="31"/>
  <c r="AP65" i="31"/>
  <c r="AN36" i="31"/>
  <c r="AL61" i="31"/>
  <c r="AS5" i="31"/>
  <c r="AS51" i="31"/>
  <c r="AO47" i="31"/>
  <c r="AM18" i="31"/>
  <c r="AI14" i="31"/>
  <c r="AI58" i="31"/>
  <c r="AR50" i="31"/>
  <c r="AN46" i="31"/>
  <c r="AL62" i="31"/>
  <c r="AS52" i="31"/>
  <c r="AO48" i="31"/>
  <c r="AK44" i="31"/>
  <c r="AS53" i="31"/>
  <c r="AM66" i="31"/>
  <c r="AT36" i="31"/>
  <c r="AL28" i="31"/>
  <c r="AQ34" i="31"/>
  <c r="AK10" i="31"/>
  <c r="AN4" i="31"/>
  <c r="AL29" i="31"/>
  <c r="AS19" i="31"/>
  <c r="AO15" i="31"/>
  <c r="AK48" i="31"/>
  <c r="AN14" i="31"/>
  <c r="AM33" i="31"/>
  <c r="AN52" i="31"/>
  <c r="AO17" i="31"/>
  <c r="AR20" i="31"/>
  <c r="AJ12" i="31"/>
  <c r="AK15" i="31"/>
  <c r="AT5" i="31"/>
  <c r="AL34" i="31"/>
  <c r="AO20" i="31"/>
  <c r="AT52" i="31"/>
  <c r="AJ60" i="31"/>
  <c r="AM46" i="31"/>
  <c r="AT7" i="31"/>
  <c r="AL45" i="31"/>
  <c r="AO68" i="31"/>
  <c r="AT20" i="31"/>
  <c r="AT57" i="31"/>
  <c r="AR36" i="31"/>
  <c r="AP16" i="31"/>
  <c r="AP53" i="31"/>
  <c r="AN32" i="31"/>
  <c r="AL12" i="31"/>
  <c r="AL49" i="31"/>
  <c r="AJ28" i="31"/>
  <c r="AS39" i="31"/>
  <c r="AQ18" i="31"/>
  <c r="AQ64" i="31"/>
  <c r="AO35" i="31"/>
  <c r="AM14" i="31"/>
  <c r="AM60" i="31"/>
  <c r="AK31" i="31"/>
  <c r="AI10" i="31"/>
  <c r="AI46" i="31"/>
  <c r="AL13" i="31"/>
  <c r="AS40" i="31"/>
  <c r="AO36" i="31"/>
  <c r="AM61" i="31"/>
  <c r="AI11" i="31"/>
  <c r="AT22" i="31"/>
  <c r="AR39" i="31"/>
  <c r="AP18" i="31"/>
  <c r="AP64" i="31"/>
  <c r="AN35" i="31"/>
  <c r="AL14" i="31"/>
  <c r="AL60" i="31"/>
  <c r="AJ31" i="31"/>
  <c r="AS4" i="31"/>
  <c r="AQ21" i="31"/>
  <c r="AO46" i="31"/>
  <c r="AM17" i="31"/>
  <c r="AK42" i="31"/>
  <c r="AI13" i="31"/>
  <c r="AP19" i="31"/>
  <c r="AJ32" i="31"/>
  <c r="AQ67" i="31"/>
  <c r="AK43" i="31"/>
  <c r="AT25" i="31"/>
  <c r="AP21" i="31"/>
  <c r="AL17" i="31"/>
  <c r="AS7" i="31"/>
  <c r="AQ3" i="31"/>
  <c r="D3" i="31" s="1"/>
  <c r="AM28" i="31"/>
  <c r="AI59" i="31"/>
  <c r="AO4" i="31"/>
  <c r="AI24" i="31"/>
  <c r="AR7" i="31"/>
  <c r="AP3" i="31"/>
  <c r="AJ44" i="31"/>
  <c r="AO14" i="31"/>
  <c r="AI62" i="31"/>
  <c r="AR8" i="31"/>
  <c r="AJ45" i="31"/>
  <c r="AK11" i="31"/>
  <c r="AL30" i="31"/>
  <c r="AO16" i="31"/>
  <c r="AT39" i="31"/>
  <c r="AS21" i="31"/>
  <c r="AI29" i="31"/>
  <c r="AP37" i="31"/>
  <c r="AS23" i="31"/>
  <c r="AI30" i="31"/>
  <c r="AP38" i="31"/>
  <c r="AS24" i="31"/>
  <c r="AK61" i="31"/>
  <c r="AN64" i="31"/>
  <c r="AO67" i="31"/>
  <c r="AT53" i="31"/>
  <c r="AQ6" i="31"/>
  <c r="AI42" i="31"/>
  <c r="AM65" i="31"/>
  <c r="AP32" i="31"/>
  <c r="AK47" i="31"/>
  <c r="AN49" i="31"/>
  <c r="AO52" i="31"/>
  <c r="AJ47" i="31"/>
  <c r="AK12" i="31"/>
  <c r="AP35" i="31"/>
  <c r="AQ38" i="31"/>
  <c r="AR66" i="31"/>
  <c r="AS68" i="31"/>
  <c r="AN17" i="31"/>
  <c r="AQ49" i="31"/>
  <c r="AN19" i="31"/>
  <c r="AQ50" i="31"/>
  <c r="AP49" i="31"/>
  <c r="AQ51" i="31"/>
  <c r="AI61" i="31"/>
  <c r="AN48" i="31"/>
  <c r="AM30" i="31"/>
  <c r="AR53" i="31"/>
  <c r="AS56" i="31"/>
  <c r="AI26" i="31"/>
  <c r="AN51" i="31"/>
  <c r="AO62" i="31"/>
  <c r="AR19" i="31"/>
  <c r="AJ48" i="31"/>
  <c r="AK59" i="31"/>
  <c r="AN16" i="31"/>
  <c r="AJ58" i="31"/>
  <c r="AK60" i="31"/>
  <c r="AR67" i="31"/>
  <c r="AS3" i="31"/>
  <c r="AI40" i="31"/>
  <c r="AL44" i="31"/>
  <c r="AO30" i="31"/>
  <c r="AR24" i="31"/>
  <c r="AS35" i="31"/>
  <c r="AK64" i="31"/>
  <c r="AR23" i="31"/>
  <c r="AO19" i="31"/>
  <c r="AT6" i="31"/>
  <c r="AJ61" i="31"/>
  <c r="AT26" i="31"/>
  <c r="AR5" i="31"/>
  <c r="AR51" i="31"/>
  <c r="AP22" i="31"/>
  <c r="AP67" i="31"/>
  <c r="AN47" i="31"/>
  <c r="AL18" i="31"/>
  <c r="AL63" i="31"/>
  <c r="AJ43" i="31"/>
  <c r="AS8" i="31"/>
  <c r="AQ33" i="31"/>
  <c r="AO49" i="31"/>
  <c r="AK45" i="31"/>
  <c r="AR52" i="31"/>
  <c r="AL65" i="31"/>
  <c r="AS18" i="31"/>
  <c r="AO51" i="31"/>
  <c r="AI25" i="31"/>
  <c r="AT37" i="31"/>
  <c r="AL66" i="31"/>
  <c r="AM31" i="31"/>
  <c r="AP34" i="31"/>
  <c r="AS66" i="31"/>
  <c r="AK58" i="31"/>
  <c r="AR56" i="31"/>
  <c r="AL31" i="31"/>
  <c r="AS67" i="31"/>
  <c r="AM34" i="31"/>
  <c r="AT4" i="31"/>
  <c r="AL33" i="31"/>
  <c r="AO64" i="31"/>
  <c r="AT42" i="31"/>
  <c r="AJ13" i="31"/>
  <c r="AK16" i="31"/>
  <c r="AP48" i="31"/>
  <c r="AS34" i="31"/>
  <c r="AK63" i="31"/>
  <c r="AR3" i="31"/>
  <c r="AJ16" i="31"/>
  <c r="AM47" i="31"/>
  <c r="AT38" i="31"/>
  <c r="AR18" i="31"/>
  <c r="AR55" i="31"/>
  <c r="AJ10" i="31"/>
  <c r="AQ37" i="31"/>
  <c r="AJ11" i="31"/>
  <c r="AK13" i="31"/>
  <c r="AT41" i="31"/>
  <c r="AQ48" i="31"/>
  <c r="AR21" i="31"/>
  <c r="AJ59" i="31"/>
  <c r="AM45" i="31"/>
  <c r="AR68" i="31"/>
  <c r="AQ5" i="31"/>
  <c r="AI41" i="31"/>
  <c r="AN20" i="31"/>
  <c r="AO31" i="31"/>
  <c r="H12" i="31"/>
  <c r="H50" i="31"/>
  <c r="H13" i="31"/>
  <c r="H45" i="31"/>
  <c r="H38" i="31"/>
  <c r="H18" i="31"/>
  <c r="H19" i="31"/>
  <c r="H20" i="31"/>
  <c r="H57" i="31"/>
  <c r="H24" i="31"/>
  <c r="H53" i="31"/>
  <c r="H27" i="31"/>
  <c r="H56" i="31"/>
  <c r="H60" i="31"/>
  <c r="H58" i="31"/>
  <c r="H31" i="31"/>
  <c r="H44" i="31"/>
  <c r="H35" i="31"/>
  <c r="H14" i="31"/>
  <c r="H15" i="31"/>
  <c r="H10" i="31"/>
  <c r="H46" i="31"/>
  <c r="C19" i="29"/>
  <c r="O7" i="31"/>
  <c r="J21" i="31"/>
  <c r="O11" i="31"/>
  <c r="N52" i="31"/>
  <c r="M49" i="31"/>
  <c r="M35" i="31"/>
  <c r="L33" i="31"/>
  <c r="I17" i="31"/>
  <c r="O23" i="31"/>
  <c r="O43" i="31"/>
  <c r="L29" i="31"/>
  <c r="I39" i="31"/>
  <c r="O55" i="31"/>
  <c r="O12" i="31"/>
  <c r="L26" i="31"/>
  <c r="O28" i="31"/>
  <c r="K49" i="31"/>
  <c r="K20" i="31"/>
  <c r="R6" i="31"/>
  <c r="U64" i="31"/>
  <c r="I54" i="31"/>
  <c r="I46" i="31"/>
  <c r="M29" i="31"/>
  <c r="O44" i="31"/>
  <c r="K45" i="31"/>
  <c r="L42" i="31"/>
  <c r="O60" i="31"/>
  <c r="O30" i="31"/>
  <c r="O48" i="31"/>
  <c r="K5" i="31"/>
  <c r="P7" i="31"/>
  <c r="R12" i="31"/>
  <c r="P41" i="31"/>
  <c r="Q64" i="31"/>
  <c r="X8" i="31"/>
  <c r="O35" i="31"/>
  <c r="L10" i="31"/>
  <c r="K13" i="31"/>
  <c r="I30" i="31"/>
  <c r="L3" i="31"/>
  <c r="J60" i="31"/>
  <c r="J29" i="31"/>
  <c r="U51" i="31"/>
  <c r="V19" i="31"/>
  <c r="J32" i="31"/>
  <c r="M45" i="31"/>
  <c r="M34" i="31"/>
  <c r="K46" i="31"/>
  <c r="L58" i="31"/>
  <c r="M50" i="31"/>
  <c r="O46" i="31"/>
  <c r="M6" i="31"/>
  <c r="J47" i="31"/>
  <c r="P39" i="31"/>
  <c r="S6" i="31"/>
  <c r="Q22" i="31"/>
  <c r="O63" i="31"/>
  <c r="Z63" i="31"/>
  <c r="I11" i="31"/>
  <c r="I37" i="31"/>
  <c r="J34" i="31"/>
  <c r="I53" i="31"/>
  <c r="I8" i="31"/>
  <c r="J48" i="31"/>
  <c r="M3" i="31"/>
  <c r="N24" i="31"/>
  <c r="J39" i="31"/>
  <c r="K42" i="31"/>
  <c r="M23" i="31"/>
  <c r="M4" i="31"/>
  <c r="M22" i="31"/>
  <c r="K38" i="31"/>
  <c r="P55" i="31"/>
  <c r="T17" i="31"/>
  <c r="Q41" i="31"/>
  <c r="O61" i="31"/>
  <c r="I10" i="31"/>
  <c r="O6" i="31"/>
  <c r="N35" i="31"/>
  <c r="L14" i="31"/>
  <c r="O3" i="31"/>
  <c r="O57" i="31"/>
  <c r="N29" i="31"/>
  <c r="N26" i="31"/>
  <c r="N12" i="31"/>
  <c r="F21" i="31"/>
  <c r="R36" i="31"/>
  <c r="U27" i="31"/>
  <c r="P6" i="31"/>
  <c r="M65" i="31"/>
  <c r="J52" i="31"/>
  <c r="N7" i="31"/>
  <c r="I26" i="31"/>
  <c r="M28" i="31"/>
  <c r="K14" i="31"/>
  <c r="N57" i="31"/>
  <c r="M15" i="31"/>
  <c r="L51" i="31"/>
  <c r="N42" i="31"/>
  <c r="K34" i="31"/>
  <c r="F10" i="31"/>
  <c r="S46" i="31"/>
  <c r="R58" i="31"/>
  <c r="Q32" i="31"/>
  <c r="M63" i="31"/>
  <c r="J18" i="31"/>
  <c r="N53" i="31"/>
  <c r="I27" i="31"/>
  <c r="I9" i="31"/>
  <c r="I13" i="31"/>
  <c r="L25" i="31"/>
  <c r="I25" i="31"/>
  <c r="I58" i="31"/>
  <c r="I14" i="31"/>
  <c r="M44" i="31"/>
  <c r="L41" i="31"/>
  <c r="L31" i="31"/>
  <c r="J43" i="31"/>
  <c r="M31" i="31"/>
  <c r="K35" i="31"/>
  <c r="L16" i="31"/>
  <c r="K50" i="31"/>
  <c r="L53" i="31"/>
  <c r="S29" i="31"/>
  <c r="R10" i="31"/>
  <c r="Q21" i="31"/>
  <c r="L63" i="31"/>
  <c r="J20" i="31"/>
  <c r="N27" i="31"/>
  <c r="M60" i="31"/>
  <c r="O33" i="31"/>
  <c r="M39" i="31"/>
  <c r="M47" i="31"/>
  <c r="J12" i="31"/>
  <c r="L32" i="31"/>
  <c r="J11" i="31"/>
  <c r="J45" i="31"/>
  <c r="T40" i="31"/>
  <c r="U24" i="31"/>
  <c r="Q8" i="31"/>
  <c r="K67" i="31"/>
  <c r="N50" i="31"/>
  <c r="I29" i="31"/>
  <c r="M16" i="31"/>
  <c r="I4" i="31"/>
  <c r="I28" i="31"/>
  <c r="L57" i="31"/>
  <c r="I36" i="31"/>
  <c r="I59" i="31"/>
  <c r="N34" i="31"/>
  <c r="K59" i="31"/>
  <c r="N3" i="31"/>
  <c r="L19" i="31"/>
  <c r="N5" i="31"/>
  <c r="O34" i="31"/>
  <c r="J25" i="31"/>
  <c r="J44" i="31"/>
  <c r="O5" i="31"/>
  <c r="T8" i="31"/>
  <c r="R35" i="31"/>
  <c r="Q27" i="31"/>
  <c r="K63" i="31"/>
  <c r="P52" i="31"/>
  <c r="N11" i="31"/>
  <c r="J14" i="31"/>
  <c r="N31" i="31"/>
  <c r="R21" i="31"/>
  <c r="T19" i="31"/>
  <c r="Q30" i="31"/>
  <c r="V39" i="31"/>
  <c r="R57" i="31"/>
  <c r="O18" i="31"/>
  <c r="U26" i="31"/>
  <c r="R28" i="31"/>
  <c r="P15" i="31"/>
  <c r="X54" i="31"/>
  <c r="T62" i="31"/>
  <c r="O58" i="31"/>
  <c r="J13" i="31"/>
  <c r="N47" i="31"/>
  <c r="R9" i="31"/>
  <c r="S38" i="31"/>
  <c r="P35" i="31"/>
  <c r="V34" i="31"/>
  <c r="V15" i="31"/>
  <c r="J7" i="31"/>
  <c r="N43" i="31"/>
  <c r="I19" i="31"/>
  <c r="I31" i="31"/>
  <c r="K40" i="31"/>
  <c r="M48" i="31"/>
  <c r="L12" i="31"/>
  <c r="N20" i="31"/>
  <c r="J36" i="31"/>
  <c r="O29" i="31"/>
  <c r="N59" i="31"/>
  <c r="L5" i="31"/>
  <c r="K21" i="31"/>
  <c r="R24" i="31"/>
  <c r="U59" i="31"/>
  <c r="Q56" i="31"/>
  <c r="V33" i="31"/>
  <c r="M40" i="31"/>
  <c r="L24" i="31"/>
  <c r="L56" i="31"/>
  <c r="N22" i="31"/>
  <c r="K43" i="31"/>
  <c r="I35" i="31"/>
  <c r="I38" i="31"/>
  <c r="I47" i="31"/>
  <c r="K56" i="31"/>
  <c r="K28" i="31"/>
  <c r="K44" i="31"/>
  <c r="N36" i="31"/>
  <c r="N38" i="31"/>
  <c r="O45" i="31"/>
  <c r="L17" i="31"/>
  <c r="K54" i="31"/>
  <c r="N49" i="31"/>
  <c r="S50" i="31"/>
  <c r="U57" i="31"/>
  <c r="Q67" i="31"/>
  <c r="V17" i="31"/>
  <c r="Z51" i="31"/>
  <c r="N15" i="31"/>
  <c r="L36" i="31"/>
  <c r="S18" i="31"/>
  <c r="R55" i="31"/>
  <c r="N64" i="31"/>
  <c r="Z37" i="31"/>
  <c r="N21" i="31"/>
  <c r="O26" i="31"/>
  <c r="J50" i="31"/>
  <c r="I51" i="31"/>
  <c r="I12" i="31"/>
  <c r="L15" i="31"/>
  <c r="L49" i="31"/>
  <c r="K6" i="31"/>
  <c r="O20" i="31"/>
  <c r="R4" i="31"/>
  <c r="R54" i="31"/>
  <c r="J64" i="31"/>
  <c r="AB35" i="31"/>
  <c r="W37" i="31"/>
  <c r="AA16" i="31"/>
  <c r="AA32" i="31"/>
  <c r="AA48" i="31"/>
  <c r="AA64" i="31"/>
  <c r="Y14" i="31"/>
  <c r="Y30" i="31"/>
  <c r="Y46" i="31"/>
  <c r="Y62" i="31"/>
  <c r="AA33" i="31"/>
  <c r="AA49" i="31"/>
  <c r="AA65" i="31"/>
  <c r="Y15" i="31"/>
  <c r="Y31" i="31"/>
  <c r="Y47" i="31"/>
  <c r="Y63" i="31"/>
  <c r="AA34" i="31"/>
  <c r="AA50" i="31"/>
  <c r="AA66" i="31"/>
  <c r="Y16" i="31"/>
  <c r="Y32" i="31"/>
  <c r="Y48" i="31"/>
  <c r="Y64" i="31"/>
  <c r="AA35" i="31"/>
  <c r="AA51" i="31"/>
  <c r="AA67" i="31"/>
  <c r="Y17" i="31"/>
  <c r="Y33" i="31"/>
  <c r="Y49" i="31"/>
  <c r="Y65" i="31"/>
  <c r="AA20" i="31"/>
  <c r="AA36" i="31"/>
  <c r="AA52" i="31"/>
  <c r="AA68" i="31"/>
  <c r="Y18" i="31"/>
  <c r="Y34" i="31"/>
  <c r="Y50" i="31"/>
  <c r="Y66" i="31"/>
  <c r="AA21" i="31"/>
  <c r="AA37" i="31"/>
  <c r="AA53" i="31"/>
  <c r="AA3" i="31"/>
  <c r="Y19" i="31"/>
  <c r="Y35" i="31"/>
  <c r="Y51" i="31"/>
  <c r="Y67" i="31"/>
  <c r="AA22" i="31"/>
  <c r="AA38" i="31"/>
  <c r="AA54" i="31"/>
  <c r="Y4" i="31"/>
  <c r="Y20" i="31"/>
  <c r="Y36" i="31"/>
  <c r="Y52" i="31"/>
  <c r="Y68" i="31"/>
  <c r="AA23" i="31"/>
  <c r="AA39" i="31"/>
  <c r="AA55" i="31"/>
  <c r="Y5" i="31"/>
  <c r="Y21" i="31"/>
  <c r="Y37" i="31"/>
  <c r="Y53" i="31"/>
  <c r="Y3" i="31"/>
  <c r="AA24" i="31"/>
  <c r="AA40" i="31"/>
  <c r="AA56" i="31"/>
  <c r="Y6" i="31"/>
  <c r="Y22" i="31"/>
  <c r="Y38" i="31"/>
  <c r="Y54" i="31"/>
  <c r="AA25" i="31"/>
  <c r="AA41" i="31"/>
  <c r="AA17" i="31"/>
  <c r="AA18" i="31"/>
  <c r="AA19" i="31"/>
  <c r="AA4" i="31"/>
  <c r="AA5" i="31"/>
  <c r="AA6" i="31"/>
  <c r="AA7" i="31"/>
  <c r="AA8" i="31"/>
  <c r="AA9" i="31"/>
  <c r="AA10" i="31"/>
  <c r="AA11" i="31"/>
  <c r="AA12" i="31"/>
  <c r="AA28" i="31"/>
  <c r="AA44" i="31"/>
  <c r="AA60" i="31"/>
  <c r="Y10" i="31"/>
  <c r="Y26" i="31"/>
  <c r="Y42" i="31"/>
  <c r="Y58" i="31"/>
  <c r="AA29" i="31"/>
  <c r="AA45" i="31"/>
  <c r="AA61" i="31"/>
  <c r="Y11" i="31"/>
  <c r="Y27" i="31"/>
  <c r="Y43" i="31"/>
  <c r="Y59" i="31"/>
  <c r="AA30" i="31"/>
  <c r="AA46" i="31"/>
  <c r="AA62" i="31"/>
  <c r="Y12" i="31"/>
  <c r="Y28" i="31"/>
  <c r="Y44" i="31"/>
  <c r="Y60" i="31"/>
  <c r="AA31" i="31"/>
  <c r="AA47" i="31"/>
  <c r="AA63" i="31"/>
  <c r="Y13" i="31"/>
  <c r="Y29" i="31"/>
  <c r="Y45" i="31"/>
  <c r="Y61" i="31"/>
  <c r="AA57" i="31"/>
  <c r="Y7" i="31"/>
  <c r="Y23" i="31"/>
  <c r="Y39" i="31"/>
  <c r="Y55" i="31"/>
  <c r="AA26" i="31"/>
  <c r="AA42" i="31"/>
  <c r="AA58" i="31"/>
  <c r="Y8" i="31"/>
  <c r="Y24" i="31"/>
  <c r="Y40" i="31"/>
  <c r="Y56" i="31"/>
  <c r="AA27" i="31"/>
  <c r="AA43" i="31"/>
  <c r="AA59" i="31"/>
  <c r="Y9" i="31"/>
  <c r="Y25" i="31"/>
  <c r="Y41" i="31"/>
  <c r="Y57" i="31"/>
  <c r="AA13" i="31"/>
  <c r="AA14" i="31"/>
  <c r="AA15" i="31"/>
  <c r="Z66" i="31"/>
  <c r="F39" i="31"/>
  <c r="N66" i="31"/>
  <c r="L28" i="31"/>
  <c r="J54" i="31"/>
  <c r="K48" i="31"/>
  <c r="M38" i="31"/>
  <c r="O51" i="31"/>
  <c r="L39" i="31"/>
  <c r="U41" i="31"/>
  <c r="U54" i="31"/>
  <c r="Q47" i="31"/>
  <c r="N62" i="31"/>
  <c r="W46" i="31"/>
  <c r="Z7" i="31"/>
  <c r="F13" i="31"/>
  <c r="K60" i="31"/>
  <c r="M18" i="31"/>
  <c r="J9" i="31"/>
  <c r="M54" i="31"/>
  <c r="M59" i="31"/>
  <c r="L55" i="31"/>
  <c r="U6" i="31"/>
  <c r="Q10" i="31"/>
  <c r="J66" i="31"/>
  <c r="W14" i="31"/>
  <c r="AE43" i="31"/>
  <c r="Z60" i="31"/>
  <c r="N55" i="31"/>
  <c r="J55" i="31"/>
  <c r="J41" i="31"/>
  <c r="N44" i="31"/>
  <c r="O53" i="31"/>
  <c r="M25" i="31"/>
  <c r="S19" i="31"/>
  <c r="S24" i="31"/>
  <c r="J62" i="31"/>
  <c r="W13" i="31"/>
  <c r="AF35" i="31"/>
  <c r="AE23" i="31"/>
  <c r="AC37" i="31"/>
  <c r="Z23" i="31"/>
  <c r="X68" i="31"/>
  <c r="F50" i="31"/>
  <c r="F6" i="31"/>
  <c r="F37" i="31"/>
  <c r="AB7" i="31"/>
  <c r="D7" i="31" s="1"/>
  <c r="AD38" i="31"/>
  <c r="F22" i="31"/>
  <c r="F33" i="31"/>
  <c r="F32" i="31"/>
  <c r="V38" i="31"/>
  <c r="X29" i="31"/>
  <c r="AF39" i="31"/>
  <c r="J4" i="29"/>
  <c r="K4" i="29" s="1"/>
  <c r="W44" i="31"/>
  <c r="AF29" i="31"/>
  <c r="F49" i="31"/>
  <c r="W12" i="31"/>
  <c r="AF27" i="31"/>
  <c r="S32" i="31"/>
  <c r="P28" i="31"/>
  <c r="Q65" i="31"/>
  <c r="S68" i="31"/>
  <c r="Z28" i="31"/>
  <c r="W41" i="31"/>
  <c r="AC31" i="31"/>
  <c r="T58" i="31"/>
  <c r="S3" i="31"/>
  <c r="U50" i="31"/>
  <c r="U53" i="31"/>
  <c r="P11" i="31"/>
  <c r="S66" i="31"/>
  <c r="Z54" i="31"/>
  <c r="AE33" i="31"/>
  <c r="F58" i="31"/>
  <c r="U52" i="31"/>
  <c r="R50" i="31"/>
  <c r="R34" i="31"/>
  <c r="Q35" i="31"/>
  <c r="P48" i="31"/>
  <c r="S64" i="31"/>
  <c r="W15" i="31"/>
  <c r="V16" i="31"/>
  <c r="V12" i="31"/>
  <c r="AE31" i="31"/>
  <c r="F5" i="31"/>
  <c r="F34" i="31"/>
  <c r="F60" i="31"/>
  <c r="T53" i="31"/>
  <c r="S27" i="31"/>
  <c r="S44" i="31"/>
  <c r="Q51" i="31"/>
  <c r="Q54" i="31"/>
  <c r="S63" i="31"/>
  <c r="X39" i="31"/>
  <c r="X18" i="31"/>
  <c r="X14" i="31"/>
  <c r="AE27" i="31"/>
  <c r="F4" i="31"/>
  <c r="F14" i="31"/>
  <c r="F17" i="31"/>
  <c r="R3" i="31"/>
  <c r="T6" i="31"/>
  <c r="U14" i="31"/>
  <c r="P25" i="31"/>
  <c r="Q5" i="31"/>
  <c r="R61" i="31"/>
  <c r="W66" i="31"/>
  <c r="F24" i="31"/>
  <c r="F29" i="31"/>
  <c r="R13" i="31"/>
  <c r="U32" i="31"/>
  <c r="R46" i="31"/>
  <c r="Q39" i="31"/>
  <c r="Q24" i="31"/>
  <c r="T65" i="31"/>
  <c r="Z10" i="31"/>
  <c r="V52" i="31"/>
  <c r="F16" i="31"/>
  <c r="F23" i="31"/>
  <c r="S23" i="31"/>
  <c r="U28" i="31"/>
  <c r="R14" i="31"/>
  <c r="Q58" i="31"/>
  <c r="P4" i="31"/>
  <c r="V6" i="31"/>
  <c r="A33" i="31"/>
  <c r="A32" i="31"/>
  <c r="B12" i="34"/>
  <c r="C39" i="34" s="1"/>
  <c r="D39" i="34" s="1"/>
  <c r="A13" i="31"/>
  <c r="B36" i="34" s="1"/>
  <c r="A34" i="31"/>
  <c r="W32" i="31"/>
  <c r="W67" i="31"/>
  <c r="X26" i="31"/>
  <c r="W45" i="31"/>
  <c r="J63" i="31"/>
  <c r="N63" i="31"/>
  <c r="K64" i="31"/>
  <c r="O64" i="31"/>
  <c r="Q36" i="31"/>
  <c r="Q28" i="31"/>
  <c r="Q52" i="31"/>
  <c r="Q37" i="31"/>
  <c r="Q44" i="31"/>
  <c r="U4" i="31"/>
  <c r="S51" i="31"/>
  <c r="U12" i="31"/>
  <c r="S10" i="31"/>
  <c r="S12" i="31"/>
  <c r="U39" i="31"/>
  <c r="S4" i="31"/>
  <c r="S58" i="31"/>
  <c r="S15" i="31"/>
  <c r="M11" i="31"/>
  <c r="K39" i="31"/>
  <c r="N30" i="31"/>
  <c r="M41" i="31"/>
  <c r="O52" i="31"/>
  <c r="K53" i="31"/>
  <c r="L50" i="31"/>
  <c r="J26" i="31"/>
  <c r="M53" i="31"/>
  <c r="K32" i="31"/>
  <c r="J56" i="31"/>
  <c r="K31" i="31"/>
  <c r="J59" i="31"/>
  <c r="M17" i="31"/>
  <c r="L59" i="31"/>
  <c r="J35" i="31"/>
  <c r="N4" i="31"/>
  <c r="K15" i="31"/>
  <c r="O59" i="31"/>
  <c r="K47" i="31"/>
  <c r="L45" i="31"/>
  <c r="K27" i="31"/>
  <c r="M13" i="31"/>
  <c r="L40" i="31"/>
  <c r="J16" i="31"/>
  <c r="I33" i="31"/>
  <c r="I7" i="31"/>
  <c r="I20" i="31"/>
  <c r="I52" i="31"/>
  <c r="X28" i="31"/>
  <c r="W53" i="31"/>
  <c r="W23" i="31"/>
  <c r="X41" i="31"/>
  <c r="S61" i="31"/>
  <c r="J65" i="31"/>
  <c r="N65" i="31"/>
  <c r="U61" i="31"/>
  <c r="K66" i="31"/>
  <c r="O66" i="31"/>
  <c r="Q6" i="31"/>
  <c r="U5" i="31"/>
  <c r="S7" i="31"/>
  <c r="S42" i="31"/>
  <c r="U36" i="31"/>
  <c r="U9" i="31"/>
  <c r="U29" i="31"/>
  <c r="S28" i="31"/>
  <c r="U55" i="31"/>
  <c r="S52" i="31"/>
  <c r="S56" i="31"/>
  <c r="M10" i="31"/>
  <c r="K36" i="31"/>
  <c r="O4" i="31"/>
  <c r="J46" i="31"/>
  <c r="L4" i="31"/>
  <c r="L34" i="31"/>
  <c r="J10" i="31"/>
  <c r="M37" i="31"/>
  <c r="K16" i="31"/>
  <c r="J40" i="31"/>
  <c r="N41" i="31"/>
  <c r="L47" i="31"/>
  <c r="O27" i="31"/>
  <c r="L43" i="31"/>
  <c r="J19" i="31"/>
  <c r="M46" i="31"/>
  <c r="X7" i="31"/>
  <c r="W9" i="31"/>
  <c r="W29" i="31"/>
  <c r="W39" i="31"/>
  <c r="X57" i="31"/>
  <c r="S62" i="31"/>
  <c r="J67" i="31"/>
  <c r="N67" i="31"/>
  <c r="U62" i="31"/>
  <c r="K68" i="31"/>
  <c r="O68" i="31"/>
  <c r="Q45" i="31"/>
  <c r="Q48" i="31"/>
  <c r="Q55" i="31"/>
  <c r="U21" i="31"/>
  <c r="U25" i="31"/>
  <c r="S55" i="31"/>
  <c r="S47" i="31"/>
  <c r="S20" i="31"/>
  <c r="S40" i="31"/>
  <c r="U30" i="31"/>
  <c r="U48" i="31"/>
  <c r="M8" i="31"/>
  <c r="N48" i="31"/>
  <c r="J3" i="31"/>
  <c r="L21" i="31"/>
  <c r="K55" i="31"/>
  <c r="M56" i="31"/>
  <c r="L18" i="31"/>
  <c r="M21" i="31"/>
  <c r="L48" i="31"/>
  <c r="J24" i="31"/>
  <c r="N56" i="31"/>
  <c r="N9" i="31"/>
  <c r="J37" i="31"/>
  <c r="L27" i="31"/>
  <c r="M30" i="31"/>
  <c r="M51" i="31"/>
  <c r="J53" i="31"/>
  <c r="N25" i="31"/>
  <c r="M33" i="31"/>
  <c r="O39" i="31"/>
  <c r="L8" i="31"/>
  <c r="I43" i="31"/>
  <c r="I15" i="31"/>
  <c r="I42" i="31"/>
  <c r="W17" i="31"/>
  <c r="W3" i="31"/>
  <c r="S65" i="31"/>
  <c r="K65" i="31"/>
  <c r="O65" i="31"/>
  <c r="U65" i="31"/>
  <c r="L66" i="31"/>
  <c r="Q23" i="31"/>
  <c r="Q20" i="31"/>
  <c r="S16" i="31"/>
  <c r="U3" i="31"/>
  <c r="S43" i="31"/>
  <c r="U38" i="31"/>
  <c r="U42" i="31"/>
  <c r="S34" i="31"/>
  <c r="U33" i="31"/>
  <c r="L54" i="31"/>
  <c r="K22" i="31"/>
  <c r="M43" i="31"/>
  <c r="L38" i="31"/>
  <c r="O37" i="31"/>
  <c r="O50" i="31"/>
  <c r="N28" i="31"/>
  <c r="O31" i="31"/>
  <c r="N58" i="31"/>
  <c r="N13" i="31"/>
  <c r="K30" i="31"/>
  <c r="K12" i="31"/>
  <c r="N37" i="31"/>
  <c r="K58" i="31"/>
  <c r="O40" i="31"/>
  <c r="L60" i="31"/>
  <c r="K41" i="31"/>
  <c r="J49" i="31"/>
  <c r="N18" i="31"/>
  <c r="I34" i="31"/>
  <c r="I48" i="31"/>
  <c r="W65" i="31"/>
  <c r="X33" i="31"/>
  <c r="W50" i="31"/>
  <c r="X53" i="31"/>
  <c r="S67" i="31"/>
  <c r="L61" i="31"/>
  <c r="I61" i="31"/>
  <c r="M62" i="31"/>
  <c r="Q62" i="31"/>
  <c r="Q46" i="31"/>
  <c r="Q43" i="31"/>
  <c r="Q7" i="31"/>
  <c r="S48" i="31"/>
  <c r="S5" i="31"/>
  <c r="S8" i="31"/>
  <c r="U17" i="31"/>
  <c r="S53" i="31"/>
  <c r="U15" i="31"/>
  <c r="S30" i="31"/>
  <c r="U34" i="31"/>
  <c r="Q49" i="31"/>
  <c r="M9" i="31"/>
  <c r="X49" i="31"/>
  <c r="W35" i="31"/>
  <c r="X55" i="31"/>
  <c r="W60" i="31"/>
  <c r="W30" i="31"/>
  <c r="X9" i="31"/>
  <c r="I68" i="31"/>
  <c r="M67" i="31"/>
  <c r="Q66" i="31"/>
  <c r="J68" i="31"/>
  <c r="N68" i="31"/>
  <c r="Q16" i="31"/>
  <c r="Q11" i="31"/>
  <c r="W51" i="31"/>
  <c r="W61" i="31"/>
  <c r="W31" i="31"/>
  <c r="J61" i="31"/>
  <c r="N61" i="31"/>
  <c r="Q68" i="31"/>
  <c r="K62" i="31"/>
  <c r="O62" i="31"/>
  <c r="Q29" i="31"/>
  <c r="Q40" i="31"/>
  <c r="Q34" i="31"/>
  <c r="U8" i="31"/>
  <c r="U31" i="31"/>
  <c r="S14" i="31"/>
  <c r="S35" i="31"/>
  <c r="S39" i="31"/>
  <c r="U49" i="31"/>
  <c r="U23" i="31"/>
  <c r="U45" i="31"/>
  <c r="S26" i="31"/>
  <c r="U20" i="31"/>
  <c r="N16" i="31"/>
  <c r="W48" i="31"/>
  <c r="W6" i="31"/>
  <c r="X6" i="31"/>
  <c r="W58" i="31"/>
  <c r="W63" i="31"/>
  <c r="I62" i="31"/>
  <c r="L68" i="31"/>
  <c r="Q13" i="31"/>
  <c r="Q42" i="31"/>
  <c r="S37" i="31"/>
  <c r="S49" i="31"/>
  <c r="U46" i="31"/>
  <c r="S22" i="31"/>
  <c r="U47" i="31"/>
  <c r="K7" i="31"/>
  <c r="K23" i="31"/>
  <c r="L6" i="31"/>
  <c r="L35" i="31"/>
  <c r="O32" i="31"/>
  <c r="M5" i="31"/>
  <c r="N10" i="31"/>
  <c r="K19" i="31"/>
  <c r="O13" i="31"/>
  <c r="N6" i="31"/>
  <c r="O41" i="31"/>
  <c r="M14" i="31"/>
  <c r="L46" i="31"/>
  <c r="K25" i="31"/>
  <c r="J22" i="31"/>
  <c r="J17" i="31"/>
  <c r="M12" i="31"/>
  <c r="I50" i="31"/>
  <c r="I22" i="31"/>
  <c r="I40" i="31"/>
  <c r="N19" i="31"/>
  <c r="I60" i="31"/>
  <c r="I24" i="31"/>
  <c r="AD34" i="31"/>
  <c r="M68" i="31"/>
  <c r="P59" i="31"/>
  <c r="U43" i="31"/>
  <c r="R56" i="31"/>
  <c r="S60" i="31"/>
  <c r="M26" i="31"/>
  <c r="O17" i="31"/>
  <c r="J57" i="31"/>
  <c r="O10" i="31"/>
  <c r="N39" i="31"/>
  <c r="O22" i="31"/>
  <c r="W54" i="31"/>
  <c r="I64" i="31"/>
  <c r="M64" i="31"/>
  <c r="Q57" i="31"/>
  <c r="U16" i="31"/>
  <c r="S11" i="31"/>
  <c r="M27" i="31"/>
  <c r="N46" i="31"/>
  <c r="M58" i="31"/>
  <c r="M55" i="31"/>
  <c r="O16" i="31"/>
  <c r="O47" i="31"/>
  <c r="M52" i="31"/>
  <c r="N45" i="31"/>
  <c r="M32" i="31"/>
  <c r="O25" i="31"/>
  <c r="O56" i="31"/>
  <c r="N8" i="31"/>
  <c r="O54" i="31"/>
  <c r="I6" i="31"/>
  <c r="AC29" i="31"/>
  <c r="K61" i="31"/>
  <c r="P44" i="31"/>
  <c r="U37" i="31"/>
  <c r="R33" i="31"/>
  <c r="T34" i="31"/>
  <c r="J30" i="31"/>
  <c r="J42" i="31"/>
  <c r="N40" i="31"/>
  <c r="J51" i="31"/>
  <c r="H4" i="30"/>
  <c r="I45" i="31"/>
  <c r="I23" i="31"/>
  <c r="W21" i="31"/>
  <c r="W55" i="31"/>
  <c r="W11" i="31"/>
  <c r="X10" i="31"/>
  <c r="I66" i="31"/>
  <c r="Q61" i="31"/>
  <c r="M66" i="31"/>
  <c r="Q4" i="31"/>
  <c r="Q50" i="31"/>
  <c r="U7" i="31"/>
  <c r="U44" i="31"/>
  <c r="N17" i="31"/>
  <c r="N33" i="31"/>
  <c r="K37" i="31"/>
  <c r="J15" i="31"/>
  <c r="M7" i="31"/>
  <c r="J58" i="31"/>
  <c r="O15" i="31"/>
  <c r="M36" i="31"/>
  <c r="O49" i="31"/>
  <c r="L30" i="31"/>
  <c r="O42" i="31"/>
  <c r="O9" i="31"/>
  <c r="O24" i="31"/>
  <c r="J38" i="31"/>
  <c r="J33" i="31"/>
  <c r="K29" i="31"/>
  <c r="K57" i="31"/>
  <c r="O38" i="31"/>
  <c r="I49" i="31"/>
  <c r="I55" i="31"/>
  <c r="Q18" i="31"/>
  <c r="T45" i="31"/>
  <c r="L37" i="31"/>
  <c r="J27" i="31"/>
  <c r="O8" i="31"/>
  <c r="K9" i="31"/>
  <c r="I16" i="31"/>
  <c r="AG25" i="31"/>
  <c r="W33" i="31"/>
  <c r="V5" i="31"/>
  <c r="Q63" i="31"/>
  <c r="Q60" i="31"/>
  <c r="R16" i="31"/>
  <c r="M20" i="31"/>
  <c r="AG35" i="31"/>
  <c r="AC41" i="31"/>
  <c r="AB15" i="31"/>
  <c r="X45" i="31"/>
  <c r="W10" i="31"/>
  <c r="X17" i="31"/>
  <c r="W27" i="31"/>
  <c r="L65" i="31"/>
  <c r="U67" i="31"/>
  <c r="Q12" i="31"/>
  <c r="Q38" i="31"/>
  <c r="Q31" i="31"/>
  <c r="S13" i="31"/>
  <c r="U58" i="31"/>
  <c r="S59" i="31"/>
  <c r="U40" i="31"/>
  <c r="S41" i="31"/>
  <c r="L52" i="31"/>
  <c r="O21" i="31"/>
  <c r="K4" i="31"/>
  <c r="M57" i="31"/>
  <c r="K18" i="31"/>
  <c r="K33" i="31"/>
  <c r="O14" i="31"/>
  <c r="J5" i="31"/>
  <c r="J6" i="31"/>
  <c r="K11" i="31"/>
  <c r="K26" i="31"/>
  <c r="M24" i="31"/>
  <c r="L13" i="31"/>
  <c r="M19" i="31"/>
  <c r="L44" i="31"/>
  <c r="L9" i="31"/>
  <c r="K24" i="31"/>
  <c r="I57" i="31"/>
  <c r="I44" i="31"/>
  <c r="I41" i="31"/>
  <c r="I21" i="31"/>
  <c r="L11" i="31"/>
  <c r="N51" i="31"/>
  <c r="I32" i="31"/>
  <c r="I56" i="31"/>
  <c r="AF23" i="31"/>
  <c r="AB25" i="31"/>
  <c r="D25" i="31" s="1"/>
  <c r="V59" i="31"/>
  <c r="W57" i="31"/>
  <c r="R64" i="31"/>
  <c r="X38" i="31"/>
  <c r="X65" i="31"/>
  <c r="L67" i="31"/>
  <c r="I63" i="31"/>
  <c r="Q9" i="31"/>
  <c r="Q15" i="31"/>
  <c r="Q59" i="31"/>
  <c r="U13" i="31"/>
  <c r="S45" i="31"/>
  <c r="R49" i="31"/>
  <c r="U56" i="31"/>
  <c r="R31" i="31"/>
  <c r="U35" i="31"/>
  <c r="O19" i="31"/>
  <c r="N32" i="31"/>
  <c r="L7" i="31"/>
  <c r="O36" i="31"/>
  <c r="N60" i="31"/>
  <c r="K17" i="31"/>
  <c r="J8" i="31"/>
  <c r="J4" i="31"/>
  <c r="K3" i="31"/>
  <c r="K10" i="31"/>
  <c r="J28" i="31"/>
  <c r="N23" i="31"/>
  <c r="J23" i="31"/>
  <c r="N54" i="31"/>
  <c r="K8" i="31"/>
  <c r="I3" i="31"/>
  <c r="I5" i="31"/>
  <c r="AE15" i="31"/>
  <c r="W8" i="31"/>
  <c r="M61" i="31"/>
  <c r="I65" i="31"/>
  <c r="P68" i="31"/>
  <c r="Q14" i="31"/>
  <c r="W4" i="31"/>
  <c r="W43" i="31"/>
  <c r="V67" i="31"/>
  <c r="W62" i="31"/>
  <c r="U66" i="31"/>
  <c r="O67" i="31"/>
  <c r="L62" i="31"/>
  <c r="P36" i="31"/>
  <c r="P5" i="31"/>
  <c r="Q26" i="31"/>
  <c r="Q19" i="31"/>
  <c r="S36" i="31"/>
  <c r="S9" i="31"/>
  <c r="S17" i="31"/>
  <c r="U60" i="31"/>
  <c r="T42" i="31"/>
  <c r="S21" i="31"/>
  <c r="S54" i="31"/>
  <c r="Q33" i="31"/>
  <c r="L23" i="31"/>
  <c r="J31" i="31"/>
  <c r="W16" i="31"/>
  <c r="X48" i="31"/>
  <c r="V13" i="31"/>
  <c r="W42" i="31"/>
  <c r="X42" i="31"/>
  <c r="U68" i="31"/>
  <c r="P63" i="31"/>
  <c r="L64" i="31"/>
  <c r="P16" i="31"/>
  <c r="Q25" i="31"/>
  <c r="Q3" i="31"/>
  <c r="P40" i="31"/>
  <c r="U10" i="31"/>
  <c r="S57" i="31"/>
  <c r="S33" i="31"/>
  <c r="R30" i="31"/>
  <c r="S31" i="31"/>
  <c r="U11" i="31"/>
  <c r="S25" i="31"/>
  <c r="Q17" i="31"/>
  <c r="K52" i="31"/>
  <c r="L20" i="31"/>
  <c r="K51" i="31"/>
  <c r="AG33" i="31"/>
  <c r="U22" i="31"/>
  <c r="R40" i="31"/>
  <c r="P29" i="31"/>
  <c r="P47" i="31"/>
  <c r="I67" i="31"/>
  <c r="I18" i="31"/>
  <c r="V18" i="31"/>
  <c r="V51" i="31"/>
  <c r="H23" i="31"/>
  <c r="H17" i="31"/>
  <c r="H48" i="31"/>
  <c r="H16" i="31"/>
  <c r="H28" i="31"/>
  <c r="H25" i="31"/>
  <c r="H66" i="31"/>
  <c r="H52" i="31"/>
  <c r="H37" i="31"/>
  <c r="H36" i="31"/>
  <c r="H9" i="31"/>
  <c r="H40" i="31"/>
  <c r="H43" i="31"/>
  <c r="H21" i="31"/>
  <c r="H47" i="31"/>
  <c r="H8" i="31"/>
  <c r="H59" i="31"/>
  <c r="H34" i="31"/>
  <c r="H42" i="31"/>
  <c r="H55" i="31"/>
  <c r="H26" i="31"/>
  <c r="Z43" i="31"/>
  <c r="Z27" i="31"/>
  <c r="Z17" i="31"/>
  <c r="Z13" i="31"/>
  <c r="Z33" i="31"/>
  <c r="Z35" i="31"/>
  <c r="Z38" i="31"/>
  <c r="Z8" i="31"/>
  <c r="Z4" i="31"/>
  <c r="Z21" i="31"/>
  <c r="Z50" i="31"/>
  <c r="Z24" i="31"/>
  <c r="Z55" i="31"/>
  <c r="Z36" i="31"/>
  <c r="Z3" i="31"/>
  <c r="Z59" i="31"/>
  <c r="Z46" i="31"/>
  <c r="Z62" i="31"/>
  <c r="Z44" i="31"/>
  <c r="Z5" i="31"/>
  <c r="Z61" i="31"/>
  <c r="Z40" i="31"/>
  <c r="Z20" i="31"/>
  <c r="Z45" i="31"/>
  <c r="Z42" i="31"/>
  <c r="Z19" i="31"/>
  <c r="Z52" i="31"/>
  <c r="Z16" i="31"/>
  <c r="Z58" i="31"/>
  <c r="Z32" i="31"/>
  <c r="Z29" i="31"/>
  <c r="Z48" i="31"/>
  <c r="Z65" i="31"/>
  <c r="Z39" i="31"/>
  <c r="Z57" i="31"/>
  <c r="AG29" i="31"/>
  <c r="N14" i="31"/>
  <c r="M42" i="31"/>
  <c r="L22" i="31"/>
  <c r="R52" i="31"/>
  <c r="U18" i="31"/>
  <c r="U19" i="31"/>
  <c r="R23" i="31"/>
  <c r="P30" i="31"/>
  <c r="Q53" i="31"/>
  <c r="U63" i="31"/>
  <c r="V55" i="31"/>
  <c r="Z11" i="31"/>
  <c r="V32" i="31"/>
  <c r="Z67" i="31"/>
  <c r="F57" i="31"/>
  <c r="F51" i="31"/>
  <c r="F30" i="31"/>
  <c r="F3" i="31"/>
  <c r="F25" i="31"/>
  <c r="F43" i="31"/>
  <c r="F38" i="31"/>
  <c r="F63" i="31"/>
  <c r="F28" i="31"/>
  <c r="F56" i="31"/>
  <c r="F62" i="31"/>
  <c r="F27" i="31"/>
  <c r="F9" i="31"/>
  <c r="AB31" i="31"/>
  <c r="F61" i="31"/>
  <c r="F8" i="31"/>
  <c r="F64" i="31"/>
  <c r="F45" i="31"/>
  <c r="F40" i="31"/>
  <c r="F66" i="31"/>
  <c r="F44" i="31"/>
  <c r="F55" i="31"/>
  <c r="F48" i="31"/>
  <c r="F31" i="31"/>
  <c r="F41" i="31"/>
  <c r="F7" i="31"/>
  <c r="F35" i="31"/>
  <c r="F52" i="31"/>
  <c r="F36" i="31"/>
  <c r="F18" i="31"/>
  <c r="F65" i="31"/>
  <c r="F67" i="31"/>
  <c r="T63" i="31"/>
  <c r="T51" i="31"/>
  <c r="T68" i="31"/>
  <c r="T13" i="31"/>
  <c r="T52" i="31"/>
  <c r="T56" i="31"/>
  <c r="T5" i="31"/>
  <c r="T60" i="31"/>
  <c r="T33" i="31"/>
  <c r="T15" i="31"/>
  <c r="AD18" i="31"/>
  <c r="AG57" i="31"/>
  <c r="AE55" i="31"/>
  <c r="AC53" i="31"/>
  <c r="AF51" i="31"/>
  <c r="AD50" i="31"/>
  <c r="AB47" i="31"/>
  <c r="AG61" i="31"/>
  <c r="AE59" i="31"/>
  <c r="AC57" i="31"/>
  <c r="AF55" i="31"/>
  <c r="AD54" i="31"/>
  <c r="AB51" i="31"/>
  <c r="AG65" i="31"/>
  <c r="AE63" i="31"/>
  <c r="AC61" i="31"/>
  <c r="AF59" i="31"/>
  <c r="AD58" i="31"/>
  <c r="AB55" i="31"/>
  <c r="D55" i="31" s="1"/>
  <c r="AG67" i="31"/>
  <c r="AE65" i="31"/>
  <c r="AC63" i="31"/>
  <c r="AF61" i="31"/>
  <c r="AD60" i="31"/>
  <c r="AB57" i="31"/>
  <c r="AG9" i="31"/>
  <c r="AE7" i="31"/>
  <c r="AC5" i="31"/>
  <c r="AC3" i="31"/>
  <c r="AF67" i="31"/>
  <c r="AD66" i="31"/>
  <c r="AB63" i="31"/>
  <c r="D63" i="31" s="1"/>
  <c r="AG13" i="31"/>
  <c r="AE11" i="31"/>
  <c r="AC9" i="31"/>
  <c r="AF7" i="31"/>
  <c r="AD6" i="31"/>
  <c r="AD3" i="31"/>
  <c r="AB67" i="31"/>
  <c r="AG19" i="31"/>
  <c r="AE17" i="31"/>
  <c r="AC15" i="31"/>
  <c r="AF13" i="31"/>
  <c r="AD12" i="31"/>
  <c r="AB9" i="31"/>
  <c r="AG49" i="31"/>
  <c r="AE47" i="31"/>
  <c r="AC45" i="31"/>
  <c r="AF43" i="31"/>
  <c r="AD42" i="31"/>
  <c r="AB39" i="31"/>
  <c r="D39" i="31" s="1"/>
  <c r="AG51" i="31"/>
  <c r="AE49" i="31"/>
  <c r="AC47" i="31"/>
  <c r="AF45" i="31"/>
  <c r="AD44" i="31"/>
  <c r="AB41" i="31"/>
  <c r="V60" i="31"/>
  <c r="V54" i="31"/>
  <c r="V7" i="31"/>
  <c r="V10" i="31"/>
  <c r="V62" i="31"/>
  <c r="V40" i="31"/>
  <c r="V29" i="31"/>
  <c r="V21" i="31"/>
  <c r="V9" i="31"/>
  <c r="V24" i="31"/>
  <c r="V4" i="31"/>
  <c r="V28" i="31"/>
  <c r="V14" i="31"/>
  <c r="V44" i="31"/>
  <c r="V47" i="31"/>
  <c r="V46" i="31"/>
  <c r="V58" i="31"/>
  <c r="AD10" i="31"/>
  <c r="AE39" i="31"/>
  <c r="R43" i="31"/>
  <c r="R38" i="31"/>
  <c r="P31" i="31"/>
  <c r="P64" i="31"/>
  <c r="R63" i="31"/>
  <c r="V64" i="31"/>
  <c r="V43" i="31"/>
  <c r="AB23" i="31"/>
  <c r="D23" i="31" s="1"/>
  <c r="AF19" i="31"/>
  <c r="AG45" i="31"/>
  <c r="F54" i="31"/>
  <c r="F11" i="31"/>
  <c r="R19" i="31"/>
  <c r="R45" i="31"/>
  <c r="R22" i="31"/>
  <c r="P20" i="31"/>
  <c r="P62" i="31"/>
  <c r="R62" i="31"/>
  <c r="V56" i="31"/>
  <c r="V49" i="31"/>
  <c r="V48" i="31"/>
  <c r="V27" i="31"/>
  <c r="AB19" i="31"/>
  <c r="AF11" i="31"/>
  <c r="AG41" i="31"/>
  <c r="F46" i="31"/>
  <c r="F12" i="31"/>
  <c r="R17" i="31"/>
  <c r="T37" i="31"/>
  <c r="R39" i="31"/>
  <c r="T38" i="31"/>
  <c r="R59" i="31"/>
  <c r="P21" i="31"/>
  <c r="P45" i="31"/>
  <c r="P37" i="31"/>
  <c r="V42" i="31"/>
  <c r="AD28" i="31"/>
  <c r="AC25" i="31"/>
  <c r="AG17" i="31"/>
  <c r="F15" i="31"/>
  <c r="F19" i="31"/>
  <c r="F20" i="31"/>
  <c r="F42" i="31"/>
  <c r="F59" i="31"/>
  <c r="R44" i="31"/>
  <c r="R53" i="31"/>
  <c r="R15" i="31"/>
  <c r="R7" i="31"/>
  <c r="R11" i="31"/>
  <c r="P8" i="31"/>
  <c r="P60" i="31"/>
  <c r="P22" i="31"/>
  <c r="P50" i="31"/>
  <c r="P67" i="31"/>
  <c r="V23" i="31"/>
  <c r="V36" i="31"/>
  <c r="V26" i="31"/>
  <c r="P58" i="31"/>
  <c r="P34" i="31"/>
  <c r="P46" i="31"/>
  <c r="P49" i="31"/>
  <c r="P53" i="31"/>
  <c r="P38" i="31"/>
  <c r="P51" i="31"/>
  <c r="P43" i="31"/>
  <c r="P19" i="31"/>
  <c r="P56" i="31"/>
  <c r="P66" i="31"/>
  <c r="P57" i="31"/>
  <c r="P12" i="31"/>
  <c r="P26" i="31"/>
  <c r="P10" i="31"/>
  <c r="P33" i="31"/>
  <c r="P23" i="31"/>
  <c r="P61" i="31"/>
  <c r="P18" i="31"/>
  <c r="P13" i="31"/>
  <c r="P42" i="31"/>
  <c r="P9" i="31"/>
  <c r="P14" i="31"/>
  <c r="P17" i="31"/>
  <c r="P32" i="31"/>
  <c r="P54" i="31"/>
  <c r="P27" i="31"/>
  <c r="AD26" i="31"/>
  <c r="AC21" i="31"/>
  <c r="B72" i="31"/>
  <c r="X72" i="31" s="1"/>
  <c r="X73" i="31" s="1"/>
  <c r="L26" i="29"/>
  <c r="L27" i="29"/>
  <c r="B3" i="30"/>
  <c r="F47" i="31"/>
  <c r="F53" i="31"/>
  <c r="F26" i="31"/>
  <c r="R5" i="31"/>
  <c r="R47" i="31"/>
  <c r="P24" i="31"/>
  <c r="P3" i="31"/>
  <c r="F68" i="31"/>
  <c r="P65" i="31"/>
  <c r="V8" i="31"/>
  <c r="V45" i="31"/>
  <c r="V30" i="31"/>
  <c r="V35" i="31"/>
  <c r="C7" i="29"/>
  <c r="G50" i="31" s="1"/>
  <c r="R68" i="31"/>
  <c r="R20" i="31"/>
  <c r="R25" i="31"/>
  <c r="R29" i="31"/>
  <c r="R41" i="31"/>
  <c r="R48" i="31"/>
  <c r="R37" i="31"/>
  <c r="R32" i="31"/>
  <c r="R18" i="31"/>
  <c r="R42" i="31"/>
  <c r="R26" i="31"/>
  <c r="R27" i="31"/>
  <c r="R51" i="31"/>
  <c r="R8" i="31"/>
  <c r="R65" i="31"/>
  <c r="R67" i="31"/>
  <c r="R60" i="31"/>
  <c r="AD22" i="31"/>
  <c r="AC13" i="31"/>
  <c r="C15" i="29"/>
  <c r="X22" i="31"/>
  <c r="X52" i="31"/>
  <c r="X12" i="31"/>
  <c r="H63" i="31"/>
  <c r="H5" i="31"/>
  <c r="H33" i="31"/>
  <c r="H41" i="31"/>
  <c r="H54" i="31"/>
  <c r="H4" i="31"/>
  <c r="H64" i="31"/>
  <c r="H22" i="31"/>
  <c r="H49" i="31"/>
  <c r="H29" i="31"/>
  <c r="H67" i="31"/>
  <c r="T29" i="31"/>
  <c r="T66" i="31"/>
  <c r="T64" i="31"/>
  <c r="T39" i="31"/>
  <c r="T50" i="31"/>
  <c r="T22" i="31"/>
  <c r="T3" i="31"/>
  <c r="T46" i="31"/>
  <c r="T49" i="31"/>
  <c r="T31" i="31"/>
  <c r="T54" i="31"/>
  <c r="T25" i="31"/>
  <c r="T11" i="31"/>
  <c r="T20" i="31"/>
  <c r="T12" i="31"/>
  <c r="T57" i="31"/>
  <c r="T32" i="31"/>
  <c r="T36" i="31"/>
  <c r="T67" i="31"/>
  <c r="T27" i="31"/>
  <c r="T28" i="31"/>
  <c r="T61" i="31"/>
  <c r="T43" i="31"/>
  <c r="T24" i="31"/>
  <c r="T44" i="31"/>
  <c r="T35" i="31"/>
  <c r="T10" i="31"/>
  <c r="T21" i="31"/>
  <c r="T48" i="31"/>
  <c r="T23" i="31"/>
  <c r="T9" i="31"/>
  <c r="T55" i="31"/>
  <c r="T4" i="31"/>
  <c r="T30" i="31"/>
  <c r="T16" i="31"/>
  <c r="T7" i="31"/>
  <c r="T26" i="31"/>
  <c r="H68" i="31"/>
  <c r="B7" i="29"/>
  <c r="H3" i="31"/>
  <c r="H11" i="31"/>
  <c r="H30" i="31"/>
  <c r="H51" i="31"/>
  <c r="H6" i="31"/>
  <c r="T47" i="31"/>
  <c r="T59" i="31"/>
  <c r="H65" i="31"/>
  <c r="T41" i="31"/>
  <c r="T14" i="31"/>
  <c r="T18" i="31"/>
  <c r="H61" i="31"/>
  <c r="H62" i="31"/>
  <c r="AB54" i="31"/>
  <c r="AB38" i="31"/>
  <c r="AB22" i="31"/>
  <c r="AB6" i="31"/>
  <c r="AD57" i="31"/>
  <c r="AD41" i="31"/>
  <c r="AD25" i="31"/>
  <c r="AD9" i="31"/>
  <c r="AF58" i="31"/>
  <c r="AF42" i="31"/>
  <c r="AF26" i="31"/>
  <c r="AF10" i="31"/>
  <c r="AC60" i="31"/>
  <c r="AC44" i="31"/>
  <c r="AC28" i="31"/>
  <c r="AC12" i="31"/>
  <c r="AE62" i="31"/>
  <c r="AE46" i="31"/>
  <c r="AE30" i="31"/>
  <c r="AE14" i="31"/>
  <c r="AG64" i="31"/>
  <c r="AG48" i="31"/>
  <c r="AG32" i="31"/>
  <c r="AG16" i="31"/>
  <c r="AB3" i="31"/>
  <c r="AB53" i="31"/>
  <c r="AB37" i="31"/>
  <c r="D37" i="31" s="1"/>
  <c r="AB21" i="31"/>
  <c r="AB5" i="31"/>
  <c r="AD56" i="31"/>
  <c r="AD40" i="31"/>
  <c r="AD24" i="31"/>
  <c r="AD8" i="31"/>
  <c r="AF57" i="31"/>
  <c r="AF41" i="31"/>
  <c r="AF25" i="31"/>
  <c r="AF9" i="31"/>
  <c r="AC59" i="31"/>
  <c r="AC43" i="31"/>
  <c r="AC27" i="31"/>
  <c r="AC11" i="31"/>
  <c r="AE61" i="31"/>
  <c r="AE45" i="31"/>
  <c r="AE29" i="31"/>
  <c r="AE13" i="31"/>
  <c r="AG63" i="31"/>
  <c r="AG47" i="31"/>
  <c r="AG31" i="31"/>
  <c r="AG15" i="31"/>
  <c r="AB68" i="31"/>
  <c r="AB52" i="31"/>
  <c r="AB36" i="31"/>
  <c r="AB20" i="31"/>
  <c r="AB4" i="31"/>
  <c r="AD55" i="31"/>
  <c r="AD39" i="31"/>
  <c r="AD23" i="31"/>
  <c r="AD7" i="31"/>
  <c r="AF56" i="31"/>
  <c r="AF40" i="31"/>
  <c r="AF24" i="31"/>
  <c r="AF8" i="31"/>
  <c r="AC58" i="31"/>
  <c r="AC42" i="31"/>
  <c r="AC26" i="31"/>
  <c r="AC10" i="31"/>
  <c r="AE60" i="31"/>
  <c r="AE44" i="31"/>
  <c r="AE28" i="31"/>
  <c r="AE12" i="31"/>
  <c r="AG62" i="31"/>
  <c r="AG46" i="31"/>
  <c r="AG30" i="31"/>
  <c r="AG14" i="31"/>
  <c r="X43" i="31"/>
  <c r="W38" i="31"/>
  <c r="Z56" i="31"/>
  <c r="W19" i="31"/>
  <c r="X3" i="31"/>
  <c r="W34" i="31"/>
  <c r="W26" i="31"/>
  <c r="W5" i="31"/>
  <c r="V11" i="31"/>
  <c r="X60" i="31"/>
  <c r="AB66" i="31"/>
  <c r="D66" i="31" s="1"/>
  <c r="AB50" i="31"/>
  <c r="D50" i="31" s="1"/>
  <c r="AB34" i="31"/>
  <c r="AB18" i="31"/>
  <c r="D18" i="31" s="1"/>
  <c r="AF3" i="31"/>
  <c r="AD53" i="31"/>
  <c r="AD37" i="31"/>
  <c r="AD21" i="31"/>
  <c r="AD5" i="31"/>
  <c r="AF54" i="31"/>
  <c r="AF38" i="31"/>
  <c r="AF22" i="31"/>
  <c r="AF6" i="31"/>
  <c r="AC56" i="31"/>
  <c r="AC40" i="31"/>
  <c r="AC24" i="31"/>
  <c r="AC8" i="31"/>
  <c r="AE58" i="31"/>
  <c r="AE42" i="31"/>
  <c r="AE26" i="31"/>
  <c r="AE10" i="31"/>
  <c r="AG60" i="31"/>
  <c r="AG44" i="31"/>
  <c r="AG28" i="31"/>
  <c r="AG12" i="31"/>
  <c r="R66" i="31"/>
  <c r="Z12" i="31"/>
  <c r="Z26" i="31"/>
  <c r="W25" i="31"/>
  <c r="V50" i="31"/>
  <c r="V65" i="31"/>
  <c r="W7" i="31"/>
  <c r="V66" i="31"/>
  <c r="W22" i="31"/>
  <c r="V61" i="31"/>
  <c r="X5" i="31"/>
  <c r="W18" i="31"/>
  <c r="X61" i="31"/>
  <c r="X44" i="31"/>
  <c r="AB65" i="31"/>
  <c r="AB49" i="31"/>
  <c r="AB33" i="31"/>
  <c r="AB17" i="31"/>
  <c r="AD68" i="31"/>
  <c r="AD52" i="31"/>
  <c r="AD36" i="31"/>
  <c r="AD20" i="31"/>
  <c r="AD4" i="31"/>
  <c r="AF53" i="31"/>
  <c r="AF37" i="31"/>
  <c r="AF21" i="31"/>
  <c r="AF5" i="31"/>
  <c r="AC55" i="31"/>
  <c r="AC39" i="31"/>
  <c r="AC23" i="31"/>
  <c r="AC7" i="31"/>
  <c r="AE57" i="31"/>
  <c r="AE41" i="31"/>
  <c r="AE25" i="31"/>
  <c r="AE9" i="31"/>
  <c r="AG59" i="31"/>
  <c r="AG43" i="31"/>
  <c r="AG27" i="31"/>
  <c r="AG11" i="31"/>
  <c r="AB64" i="31"/>
  <c r="D64" i="31" s="1"/>
  <c r="AB48" i="31"/>
  <c r="D48" i="31" s="1"/>
  <c r="AB32" i="31"/>
  <c r="D32" i="31" s="1"/>
  <c r="AB16" i="31"/>
  <c r="D16" i="31" s="1"/>
  <c r="AD67" i="31"/>
  <c r="AD51" i="31"/>
  <c r="AD35" i="31"/>
  <c r="AD19" i="31"/>
  <c r="AF68" i="31"/>
  <c r="AF52" i="31"/>
  <c r="AF36" i="31"/>
  <c r="AF20" i="31"/>
  <c r="AF4" i="31"/>
  <c r="AC54" i="31"/>
  <c r="AC38" i="31"/>
  <c r="AC22" i="31"/>
  <c r="AC6" i="31"/>
  <c r="AE56" i="31"/>
  <c r="AE40" i="31"/>
  <c r="AE24" i="31"/>
  <c r="AE8" i="31"/>
  <c r="AG58" i="31"/>
  <c r="AG42" i="31"/>
  <c r="AG26" i="31"/>
  <c r="AG10" i="31"/>
  <c r="X24" i="31"/>
  <c r="X36" i="31"/>
  <c r="X56" i="31"/>
  <c r="X20" i="31"/>
  <c r="X32" i="31"/>
  <c r="X16" i="31"/>
  <c r="X37" i="31"/>
  <c r="X64" i="31"/>
  <c r="X13" i="31"/>
  <c r="E71" i="31"/>
  <c r="AB62" i="31"/>
  <c r="AB46" i="31"/>
  <c r="D46" i="31" s="1"/>
  <c r="AB30" i="31"/>
  <c r="AB14" i="31"/>
  <c r="AD65" i="31"/>
  <c r="AD49" i="31"/>
  <c r="AD33" i="31"/>
  <c r="AD17" i="31"/>
  <c r="AF66" i="31"/>
  <c r="AF50" i="31"/>
  <c r="AF34" i="31"/>
  <c r="AF18" i="31"/>
  <c r="AC68" i="31"/>
  <c r="AC52" i="31"/>
  <c r="AC36" i="31"/>
  <c r="AC20" i="31"/>
  <c r="AC4" i="31"/>
  <c r="AE54" i="31"/>
  <c r="AE38" i="31"/>
  <c r="AE22" i="31"/>
  <c r="AE6" i="31"/>
  <c r="AG56" i="31"/>
  <c r="AG40" i="31"/>
  <c r="AG24" i="31"/>
  <c r="AG8" i="31"/>
  <c r="X58" i="31"/>
  <c r="X4" i="31"/>
  <c r="X67" i="31"/>
  <c r="X63" i="31"/>
  <c r="D71" i="31"/>
  <c r="AB61" i="31"/>
  <c r="AB45" i="31"/>
  <c r="D45" i="31" s="1"/>
  <c r="AB29" i="31"/>
  <c r="D29" i="31" s="1"/>
  <c r="AB13" i="31"/>
  <c r="D13" i="31" s="1"/>
  <c r="AD64" i="31"/>
  <c r="AD48" i="31"/>
  <c r="AD32" i="31"/>
  <c r="AD16" i="31"/>
  <c r="AF65" i="31"/>
  <c r="AF49" i="31"/>
  <c r="AF33" i="31"/>
  <c r="AF17" i="31"/>
  <c r="AC67" i="31"/>
  <c r="AC51" i="31"/>
  <c r="AC35" i="31"/>
  <c r="AC19" i="31"/>
  <c r="AE3" i="31"/>
  <c r="AE53" i="31"/>
  <c r="AE37" i="31"/>
  <c r="AE21" i="31"/>
  <c r="AE5" i="31"/>
  <c r="AG55" i="31"/>
  <c r="AG39" i="31"/>
  <c r="AG23" i="31"/>
  <c r="AG7" i="31"/>
  <c r="X11" i="31"/>
  <c r="X51" i="31"/>
  <c r="V53" i="31"/>
  <c r="Z22" i="31"/>
  <c r="X66" i="31"/>
  <c r="X40" i="31"/>
  <c r="Z34" i="31"/>
  <c r="X47" i="31"/>
  <c r="Z18" i="31"/>
  <c r="X62" i="31"/>
  <c r="Z47" i="31"/>
  <c r="Z30" i="31"/>
  <c r="AB60" i="31"/>
  <c r="AB44" i="31"/>
  <c r="D44" i="31" s="1"/>
  <c r="AB28" i="31"/>
  <c r="AB12" i="31"/>
  <c r="D12" i="31" s="1"/>
  <c r="AD63" i="31"/>
  <c r="AD47" i="31"/>
  <c r="AD31" i="31"/>
  <c r="AD15" i="31"/>
  <c r="AF64" i="31"/>
  <c r="AF48" i="31"/>
  <c r="AF32" i="31"/>
  <c r="AF16" i="31"/>
  <c r="AC66" i="31"/>
  <c r="AC50" i="31"/>
  <c r="AC34" i="31"/>
  <c r="AC18" i="31"/>
  <c r="AE68" i="31"/>
  <c r="AE52" i="31"/>
  <c r="AE36" i="31"/>
  <c r="AE20" i="31"/>
  <c r="AE4" i="31"/>
  <c r="AG54" i="31"/>
  <c r="AG38" i="31"/>
  <c r="AG22" i="31"/>
  <c r="AG6" i="31"/>
  <c r="V41" i="31"/>
  <c r="W47" i="31"/>
  <c r="V25" i="31"/>
  <c r="V57" i="31"/>
  <c r="X59" i="31"/>
  <c r="X23" i="31"/>
  <c r="Z25" i="31"/>
  <c r="Z6" i="31"/>
  <c r="X35" i="31"/>
  <c r="Z41" i="31"/>
  <c r="W56" i="31"/>
  <c r="X50" i="31"/>
  <c r="W28" i="31"/>
  <c r="W68" i="31"/>
  <c r="X31" i="31"/>
  <c r="V3" i="31"/>
  <c r="W52" i="31"/>
  <c r="X46" i="31"/>
  <c r="Z31" i="31"/>
  <c r="Z14" i="31"/>
  <c r="AB59" i="31"/>
  <c r="D59" i="31" s="1"/>
  <c r="AB43" i="31"/>
  <c r="D43" i="31" s="1"/>
  <c r="AB27" i="31"/>
  <c r="D27" i="31" s="1"/>
  <c r="AB11" i="31"/>
  <c r="D11" i="31" s="1"/>
  <c r="AD62" i="31"/>
  <c r="AD46" i="31"/>
  <c r="AD30" i="31"/>
  <c r="AD14" i="31"/>
  <c r="AF63" i="31"/>
  <c r="AF47" i="31"/>
  <c r="AF31" i="31"/>
  <c r="AF15" i="31"/>
  <c r="AC65" i="31"/>
  <c r="AC49" i="31"/>
  <c r="AC33" i="31"/>
  <c r="AC17" i="31"/>
  <c r="AE67" i="31"/>
  <c r="AE51" i="31"/>
  <c r="AE35" i="31"/>
  <c r="AE19" i="31"/>
  <c r="AG3" i="31"/>
  <c r="AG53" i="31"/>
  <c r="AG37" i="31"/>
  <c r="AG21" i="31"/>
  <c r="AG5" i="31"/>
  <c r="X25" i="31"/>
  <c r="W40" i="31"/>
  <c r="X19" i="31"/>
  <c r="W59" i="31"/>
  <c r="W24" i="31"/>
  <c r="X34" i="31"/>
  <c r="W20" i="31"/>
  <c r="X15" i="31"/>
  <c r="Z9" i="31"/>
  <c r="W36" i="31"/>
  <c r="X30" i="31"/>
  <c r="V37" i="31"/>
  <c r="Z15" i="31"/>
  <c r="W64" i="31"/>
  <c r="AB58" i="31"/>
  <c r="AB42" i="31"/>
  <c r="AB26" i="31"/>
  <c r="AB10" i="31"/>
  <c r="AD61" i="31"/>
  <c r="AD45" i="31"/>
  <c r="AD29" i="31"/>
  <c r="AD13" i="31"/>
  <c r="AF62" i="31"/>
  <c r="AF46" i="31"/>
  <c r="AF30" i="31"/>
  <c r="AF14" i="31"/>
  <c r="AC64" i="31"/>
  <c r="AC48" i="31"/>
  <c r="AC32" i="31"/>
  <c r="AC16" i="31"/>
  <c r="AE66" i="31"/>
  <c r="AE50" i="31"/>
  <c r="AE34" i="31"/>
  <c r="AE18" i="31"/>
  <c r="AG68" i="31"/>
  <c r="AG52" i="31"/>
  <c r="AG36" i="31"/>
  <c r="AG20" i="31"/>
  <c r="AG4" i="31"/>
  <c r="X27" i="31"/>
  <c r="V22" i="31"/>
  <c r="Z53" i="31"/>
  <c r="V20" i="31"/>
  <c r="Z68" i="31"/>
  <c r="Z49" i="31"/>
  <c r="V68" i="31"/>
  <c r="V31" i="31"/>
  <c r="Z64" i="31"/>
  <c r="V63" i="31"/>
  <c r="W49" i="31"/>
  <c r="AB56" i="31"/>
  <c r="AB40" i="31"/>
  <c r="AB24" i="31"/>
  <c r="D24" i="31" s="1"/>
  <c r="AB8" i="31"/>
  <c r="D8" i="31" s="1"/>
  <c r="AD59" i="31"/>
  <c r="AD43" i="31"/>
  <c r="AD27" i="31"/>
  <c r="AD11" i="31"/>
  <c r="AF60" i="31"/>
  <c r="AF44" i="31"/>
  <c r="AF28" i="31"/>
  <c r="AF12" i="31"/>
  <c r="AC62" i="31"/>
  <c r="AC46" i="31"/>
  <c r="AC30" i="31"/>
  <c r="AC14" i="31"/>
  <c r="AE64" i="31"/>
  <c r="AE48" i="31"/>
  <c r="AE32" i="31"/>
  <c r="AE16" i="31"/>
  <c r="AG66" i="31"/>
  <c r="AG50" i="31"/>
  <c r="AG34" i="31"/>
  <c r="AG18" i="31"/>
  <c r="C21" i="29" l="1"/>
  <c r="D30" i="31"/>
  <c r="D53" i="31"/>
  <c r="D28" i="31"/>
  <c r="D67" i="31"/>
  <c r="D61" i="31"/>
  <c r="D6" i="31"/>
  <c r="D15" i="31"/>
  <c r="D68" i="31"/>
  <c r="D54" i="31"/>
  <c r="D4" i="31"/>
  <c r="D56" i="31"/>
  <c r="D52" i="31"/>
  <c r="D38" i="31"/>
  <c r="D62" i="31"/>
  <c r="D34" i="31"/>
  <c r="D26" i="31"/>
  <c r="D35" i="31"/>
  <c r="D40" i="31"/>
  <c r="D22" i="31"/>
  <c r="D41" i="31"/>
  <c r="D19" i="31"/>
  <c r="D36" i="31"/>
  <c r="D42" i="31"/>
  <c r="D58" i="31"/>
  <c r="D17" i="31"/>
  <c r="D57" i="31"/>
  <c r="D33" i="31"/>
  <c r="D5" i="31"/>
  <c r="D47" i="31"/>
  <c r="D9" i="31"/>
  <c r="D20" i="31"/>
  <c r="D51" i="31"/>
  <c r="D10" i="31"/>
  <c r="D49" i="31"/>
  <c r="D65" i="31"/>
  <c r="D21" i="31"/>
  <c r="D60" i="31"/>
  <c r="D14" i="31"/>
  <c r="G12" i="31"/>
  <c r="AO72" i="31"/>
  <c r="AO73" i="31" s="1"/>
  <c r="AS72" i="31"/>
  <c r="AS73" i="31" s="1"/>
  <c r="AM72" i="31"/>
  <c r="AM73" i="31" s="1"/>
  <c r="AQ72" i="31"/>
  <c r="AQ73" i="31" s="1"/>
  <c r="AR72" i="31"/>
  <c r="AR73" i="31" s="1"/>
  <c r="AT72" i="31"/>
  <c r="AT73" i="31" s="1"/>
  <c r="AI72" i="31"/>
  <c r="AI73" i="31" s="1"/>
  <c r="AL72" i="31"/>
  <c r="AL73" i="31" s="1"/>
  <c r="AP72" i="31"/>
  <c r="AP73" i="31" s="1"/>
  <c r="AN72" i="31"/>
  <c r="AN73" i="31" s="1"/>
  <c r="AJ72" i="31"/>
  <c r="AJ73" i="31" s="1"/>
  <c r="AK72" i="31"/>
  <c r="AK73" i="31" s="1"/>
  <c r="E29" i="34"/>
  <c r="E31" i="34"/>
  <c r="E33" i="34"/>
  <c r="E34" i="34"/>
  <c r="E30" i="34"/>
  <c r="E32" i="34"/>
  <c r="B14" i="34"/>
  <c r="I17" i="34" s="1"/>
  <c r="AA72" i="31"/>
  <c r="AA73" i="31" s="1"/>
  <c r="Y72" i="31"/>
  <c r="Y73" i="31" s="1"/>
  <c r="B13" i="34"/>
  <c r="A19" i="34"/>
  <c r="D12" i="25" s="1"/>
  <c r="J7" i="29"/>
  <c r="K7" i="29" s="1"/>
  <c r="V72" i="31"/>
  <c r="V73" i="31" s="1"/>
  <c r="AB72" i="31"/>
  <c r="AB73" i="31" s="1"/>
  <c r="S72" i="31"/>
  <c r="S73" i="31" s="1"/>
  <c r="H72" i="31"/>
  <c r="H73" i="31" s="1"/>
  <c r="AG72" i="31"/>
  <c r="AG73" i="31" s="1"/>
  <c r="Q72" i="31"/>
  <c r="Q73" i="31" s="1"/>
  <c r="AC72" i="31"/>
  <c r="AC73" i="31" s="1"/>
  <c r="J72" i="31"/>
  <c r="J73" i="31" s="1"/>
  <c r="N72" i="31"/>
  <c r="N73" i="31" s="1"/>
  <c r="M72" i="31"/>
  <c r="M73" i="31" s="1"/>
  <c r="I72" i="31"/>
  <c r="I73" i="31" s="1"/>
  <c r="L72" i="31"/>
  <c r="L73" i="31" s="1"/>
  <c r="K72" i="31"/>
  <c r="K73" i="31" s="1"/>
  <c r="G36" i="31"/>
  <c r="G3" i="31"/>
  <c r="G35" i="31"/>
  <c r="G49" i="31"/>
  <c r="G56" i="31"/>
  <c r="G58" i="31"/>
  <c r="G45" i="31"/>
  <c r="G25" i="31"/>
  <c r="G20" i="31"/>
  <c r="G40" i="31"/>
  <c r="G27" i="31"/>
  <c r="G24" i="31"/>
  <c r="G9" i="31"/>
  <c r="G47" i="31"/>
  <c r="G37" i="31"/>
  <c r="G19" i="31"/>
  <c r="G30" i="31"/>
  <c r="G59" i="31"/>
  <c r="G32" i="31"/>
  <c r="G6" i="31"/>
  <c r="G8" i="31"/>
  <c r="G34" i="31"/>
  <c r="G31" i="31"/>
  <c r="G17" i="31"/>
  <c r="G18" i="31"/>
  <c r="G57" i="31"/>
  <c r="G11" i="31"/>
  <c r="G43" i="31"/>
  <c r="G38" i="31"/>
  <c r="G48" i="31"/>
  <c r="G51" i="31"/>
  <c r="G5" i="31"/>
  <c r="G61" i="31"/>
  <c r="G23" i="31"/>
  <c r="G54" i="31"/>
  <c r="G28" i="31"/>
  <c r="G55" i="31"/>
  <c r="G16" i="31"/>
  <c r="G21" i="31"/>
  <c r="G41" i="31"/>
  <c r="G63" i="31"/>
  <c r="G65" i="31"/>
  <c r="G42" i="31"/>
  <c r="G66" i="31"/>
  <c r="G52" i="31"/>
  <c r="G68" i="31"/>
  <c r="G26" i="31"/>
  <c r="G39" i="31"/>
  <c r="G67" i="31"/>
  <c r="G29" i="31"/>
  <c r="G64" i="31"/>
  <c r="G7" i="31"/>
  <c r="G13" i="31"/>
  <c r="G15" i="31"/>
  <c r="G44" i="31"/>
  <c r="G14" i="31"/>
  <c r="G33" i="31"/>
  <c r="G4" i="31"/>
  <c r="U72" i="31"/>
  <c r="U73" i="31" s="1"/>
  <c r="O72" i="31"/>
  <c r="O73" i="31" s="1"/>
  <c r="F72" i="31"/>
  <c r="F73" i="31" s="1"/>
  <c r="G72" i="31"/>
  <c r="G73" i="31" s="1"/>
  <c r="Z72" i="31"/>
  <c r="Z73" i="31" s="1"/>
  <c r="AE72" i="31"/>
  <c r="AE73" i="31" s="1"/>
  <c r="G62" i="31"/>
  <c r="W72" i="31"/>
  <c r="W73" i="31" s="1"/>
  <c r="G22" i="31"/>
  <c r="G46" i="31"/>
  <c r="AF72" i="31"/>
  <c r="AF73" i="31" s="1"/>
  <c r="R72" i="31"/>
  <c r="R73" i="31" s="1"/>
  <c r="G10" i="31"/>
  <c r="T72" i="31"/>
  <c r="T73" i="31" s="1"/>
  <c r="G53" i="31"/>
  <c r="AD72" i="31"/>
  <c r="AD73" i="31" s="1"/>
  <c r="P72" i="31"/>
  <c r="P73" i="31" s="1"/>
  <c r="G60" i="31"/>
  <c r="C23" i="29" l="1"/>
  <c r="C27" i="29" s="1"/>
  <c r="C28" i="29" s="1"/>
  <c r="C30" i="29" s="1"/>
  <c r="C30" i="25"/>
  <c r="I21" i="34"/>
  <c r="D73" i="31"/>
  <c r="I2" i="34"/>
  <c r="I7" i="34"/>
  <c r="I13" i="34"/>
  <c r="I24" i="34"/>
  <c r="I4" i="34"/>
  <c r="I8" i="34"/>
  <c r="I19" i="34"/>
  <c r="I23" i="34"/>
  <c r="I6" i="34"/>
  <c r="I25" i="34"/>
  <c r="I5" i="34"/>
  <c r="I10" i="34"/>
  <c r="I18" i="34"/>
  <c r="I3" i="34"/>
  <c r="I20" i="34"/>
  <c r="I12" i="34"/>
  <c r="I14" i="34"/>
  <c r="I15" i="34"/>
  <c r="I16" i="34"/>
  <c r="I22" i="34"/>
  <c r="I11" i="34"/>
  <c r="I9" i="34"/>
  <c r="B15" i="34"/>
  <c r="B91" i="31" s="1"/>
  <c r="E73" i="31"/>
  <c r="M4" i="29" l="1"/>
  <c r="M7" i="29"/>
  <c r="E4" i="30"/>
  <c r="C64" i="31"/>
  <c r="C28" i="31"/>
  <c r="C49" i="31"/>
  <c r="C17" i="31"/>
  <c r="C37" i="31"/>
  <c r="C66" i="31"/>
  <c r="C25" i="31"/>
  <c r="C61" i="31"/>
  <c r="C35" i="31"/>
  <c r="C27" i="31"/>
  <c r="C50" i="31"/>
  <c r="C51" i="31"/>
  <c r="C59" i="31"/>
  <c r="C62" i="31"/>
  <c r="C31" i="31"/>
  <c r="C32" i="31"/>
  <c r="C21" i="31"/>
  <c r="C47" i="31"/>
  <c r="B85" i="31"/>
  <c r="C34" i="31"/>
  <c r="C29" i="31"/>
  <c r="C15" i="31"/>
  <c r="C10" i="31"/>
  <c r="C4" i="31"/>
  <c r="C8" i="31"/>
  <c r="C33" i="31"/>
  <c r="C19" i="31"/>
  <c r="C13" i="31"/>
  <c r="C39" i="31"/>
  <c r="C63" i="31"/>
  <c r="C12" i="31"/>
  <c r="C22" i="31"/>
  <c r="C48" i="31"/>
  <c r="C53" i="31"/>
  <c r="C67" i="31"/>
  <c r="C9" i="31"/>
  <c r="C14" i="31"/>
  <c r="C65" i="31"/>
  <c r="C3" i="31"/>
  <c r="C5" i="31"/>
  <c r="C30" i="31"/>
  <c r="C24" i="31"/>
  <c r="C18" i="31"/>
  <c r="C38" i="31"/>
  <c r="C55" i="31"/>
  <c r="C41" i="31"/>
  <c r="C68" i="31"/>
  <c r="C56" i="31"/>
  <c r="C11" i="31"/>
  <c r="C52" i="31"/>
  <c r="C40" i="31"/>
  <c r="C16" i="31"/>
  <c r="C46" i="31"/>
  <c r="C45" i="31"/>
  <c r="C58" i="31"/>
  <c r="C60" i="31"/>
  <c r="C54" i="31"/>
  <c r="C6" i="31"/>
  <c r="C7" i="31"/>
  <c r="C23" i="31"/>
  <c r="C43" i="31"/>
  <c r="C36" i="31"/>
  <c r="C26" i="31"/>
  <c r="C44" i="31"/>
  <c r="C57" i="31"/>
  <c r="C42" i="31"/>
  <c r="C20" i="31"/>
  <c r="A29" i="31"/>
  <c r="K10" i="29"/>
  <c r="D17" i="25" s="1"/>
  <c r="L69" i="31"/>
  <c r="Q69" i="31" l="1"/>
  <c r="O19" i="30"/>
  <c r="V69" i="31" s="1"/>
  <c r="O49" i="30"/>
  <c r="T69" i="31"/>
  <c r="O51" i="30"/>
  <c r="G69" i="31" s="1"/>
  <c r="O25" i="30"/>
  <c r="AI69" i="31" s="1"/>
  <c r="O27" i="30"/>
  <c r="AM69" i="31" s="1"/>
  <c r="O64" i="30"/>
  <c r="AN69" i="31" s="1"/>
  <c r="O62" i="30"/>
  <c r="AJ69" i="31" s="1"/>
  <c r="O66" i="30"/>
  <c r="AR69" i="31" s="1"/>
  <c r="E69" i="31" s="1"/>
  <c r="O30" i="30"/>
  <c r="AS69" i="31" s="1"/>
  <c r="O67" i="30"/>
  <c r="AT69" i="31" s="1"/>
  <c r="O28" i="30"/>
  <c r="AO69" i="31" s="1"/>
  <c r="O26" i="30"/>
  <c r="AK69" i="31" s="1"/>
  <c r="O65" i="30"/>
  <c r="AP69" i="31" s="1"/>
  <c r="O20" i="30"/>
  <c r="X69" i="31" s="1"/>
  <c r="O61" i="30"/>
  <c r="AG69" i="31" s="1"/>
  <c r="O59" i="30"/>
  <c r="AC69" i="31" s="1"/>
  <c r="O24" i="30"/>
  <c r="AF69" i="31" s="1"/>
  <c r="O23" i="30"/>
  <c r="AD69" i="31" s="1"/>
  <c r="O22" i="30"/>
  <c r="AB69" i="31" s="1"/>
  <c r="O21" i="30"/>
  <c r="Z69" i="31" s="1"/>
  <c r="O57" i="30"/>
  <c r="Y69" i="31" s="1"/>
  <c r="O50" i="30"/>
  <c r="I69" i="31" s="1"/>
  <c r="S69" i="31"/>
  <c r="O14" i="30"/>
  <c r="F69" i="31" s="1"/>
  <c r="U69" i="31"/>
  <c r="O15" i="30"/>
  <c r="N69" i="31" s="1"/>
  <c r="R69" i="31"/>
  <c r="O13" i="30"/>
  <c r="H69" i="31" s="1"/>
  <c r="O56" i="30"/>
  <c r="W69" i="31" s="1"/>
  <c r="O63" i="30"/>
  <c r="AL69" i="31" s="1"/>
  <c r="O12" i="30"/>
  <c r="O60" i="30"/>
  <c r="AE69" i="31" s="1"/>
  <c r="O58" i="30"/>
  <c r="AA69" i="31" s="1"/>
  <c r="P69" i="31"/>
  <c r="O29" i="30"/>
  <c r="AQ69" i="31" s="1"/>
  <c r="P52" i="30"/>
  <c r="M69" i="31" s="1"/>
  <c r="O52" i="30"/>
  <c r="O69" i="31" s="1"/>
  <c r="K16" i="29"/>
  <c r="H31" i="25" s="1"/>
  <c r="D69" i="31" l="1"/>
  <c r="L23" i="29" s="1"/>
  <c r="D70" i="31"/>
  <c r="B74" i="31" s="1"/>
  <c r="B80" i="31" s="1"/>
  <c r="L22" i="29" l="1"/>
  <c r="B81" i="31"/>
  <c r="V84" i="31" s="1"/>
  <c r="B79" i="31"/>
  <c r="N82" i="31" s="1"/>
  <c r="AB83" i="31"/>
  <c r="X83" i="31"/>
  <c r="AF83" i="31"/>
  <c r="H83" i="31"/>
  <c r="L83" i="31"/>
  <c r="N83" i="31"/>
  <c r="Z83" i="31"/>
  <c r="AD83" i="31"/>
  <c r="V83" i="31"/>
  <c r="T20" i="29" l="1"/>
  <c r="AF84" i="31"/>
  <c r="X84" i="31"/>
  <c r="AB84" i="31"/>
  <c r="L84" i="31"/>
  <c r="H84" i="31"/>
  <c r="AD84" i="31"/>
  <c r="N84" i="31"/>
  <c r="Z84" i="31"/>
  <c r="X82" i="31"/>
  <c r="Z82" i="31"/>
  <c r="AD82" i="31"/>
  <c r="AB82" i="31"/>
  <c r="V82" i="31"/>
  <c r="AF82" i="31"/>
  <c r="L82" i="31"/>
  <c r="H82" i="31"/>
  <c r="B37" i="34"/>
  <c r="B90" i="31" s="1"/>
  <c r="B77" i="31" l="1"/>
  <c r="B75" i="31"/>
  <c r="B76" i="31"/>
  <c r="B78" i="31"/>
  <c r="AI83" i="31" l="1"/>
  <c r="AO83" i="31"/>
  <c r="AS83" i="31"/>
  <c r="AK83" i="31"/>
  <c r="AM83" i="31"/>
  <c r="AQ83" i="31"/>
  <c r="AM82" i="31"/>
  <c r="AO82" i="31"/>
  <c r="AQ82" i="31"/>
  <c r="AI82" i="31"/>
  <c r="AK82" i="31"/>
  <c r="AS82" i="31"/>
  <c r="AK84" i="31"/>
  <c r="AS84" i="31"/>
  <c r="AI84" i="31"/>
  <c r="AO84" i="31"/>
  <c r="AQ84" i="31"/>
  <c r="AM84" i="31"/>
  <c r="P82" i="31"/>
  <c r="R82" i="31"/>
  <c r="F82" i="31"/>
  <c r="T82" i="31"/>
  <c r="T83" i="31"/>
  <c r="P83" i="31"/>
  <c r="R83" i="31"/>
  <c r="F83" i="31"/>
  <c r="F84" i="31"/>
  <c r="P84" i="31"/>
  <c r="T84" i="31"/>
  <c r="R84" i="31"/>
  <c r="D84" i="31" l="1"/>
  <c r="D82" i="31"/>
  <c r="D83" i="31"/>
  <c r="B86" i="31" l="1" a="1"/>
  <c r="B87" i="31" s="1"/>
  <c r="B88" i="31" s="1"/>
  <c r="B89" i="31" l="1"/>
  <c r="T23" i="29"/>
  <c r="T22" i="29" l="1"/>
  <c r="P29" i="29" s="1"/>
  <c r="H32" i="25" s="1"/>
  <c r="A62" i="31"/>
  <c r="E17" i="31" l="1"/>
  <c r="E33" i="31"/>
  <c r="E49" i="31"/>
  <c r="E65" i="31"/>
  <c r="E36" i="31"/>
  <c r="E5" i="31"/>
  <c r="E38" i="31"/>
  <c r="E54" i="31"/>
  <c r="E7" i="31"/>
  <c r="E23" i="31"/>
  <c r="E39" i="31"/>
  <c r="E24" i="31"/>
  <c r="E40" i="31"/>
  <c r="E9" i="31"/>
  <c r="E57" i="31"/>
  <c r="E42" i="31"/>
  <c r="E43" i="31"/>
  <c r="E59" i="31"/>
  <c r="E44" i="31"/>
  <c r="E13" i="31"/>
  <c r="E62" i="31"/>
  <c r="E15" i="31"/>
  <c r="E48" i="31"/>
  <c r="E18" i="31"/>
  <c r="E34" i="31"/>
  <c r="E50" i="31"/>
  <c r="E66" i="31"/>
  <c r="E20" i="31"/>
  <c r="E37" i="31"/>
  <c r="E53" i="31"/>
  <c r="E22" i="31"/>
  <c r="E55" i="31"/>
  <c r="E8" i="31"/>
  <c r="E56" i="31"/>
  <c r="E25" i="31"/>
  <c r="E26" i="31"/>
  <c r="E27" i="31"/>
  <c r="E12" i="31"/>
  <c r="E45" i="31"/>
  <c r="E61" i="31"/>
  <c r="E14" i="31"/>
  <c r="E63" i="31"/>
  <c r="E19" i="31"/>
  <c r="E35" i="31"/>
  <c r="E51" i="31"/>
  <c r="E67" i="31"/>
  <c r="E4" i="31"/>
  <c r="E52" i="31"/>
  <c r="E68" i="31"/>
  <c r="E21" i="31"/>
  <c r="E41" i="31"/>
  <c r="E10" i="31"/>
  <c r="E58" i="31"/>
  <c r="E11" i="31"/>
  <c r="E28" i="31"/>
  <c r="E60" i="31"/>
  <c r="E29" i="31"/>
  <c r="E30" i="31"/>
  <c r="E31" i="31"/>
  <c r="E16" i="31"/>
  <c r="E6" i="31"/>
  <c r="E46" i="31"/>
  <c r="E47" i="31"/>
  <c r="E32" i="31"/>
  <c r="E64" i="31"/>
  <c r="E3" i="31"/>
  <c r="M29" i="29"/>
  <c r="L25" i="29" l="1"/>
  <c r="L24" i="29"/>
  <c r="T21" i="29" s="1"/>
  <c r="K14" i="29" s="1"/>
  <c r="H30" i="2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<sst xmlns="http://schemas.openxmlformats.org/spreadsheetml/2006/main" count="661" uniqueCount="433">
  <si>
    <t>Expected cotton price</t>
  </si>
  <si>
    <t>Expected cotton yield</t>
  </si>
  <si>
    <t>Addition model</t>
  </si>
  <si>
    <t>A</t>
  </si>
  <si>
    <t>B</t>
  </si>
  <si>
    <t>C</t>
  </si>
  <si>
    <t>y=A/(1+e^(B*dd*(C*Ht+Dn)))</t>
  </si>
  <si>
    <t>DD</t>
  </si>
  <si>
    <t>Weed</t>
  </si>
  <si>
    <t>height</t>
  </si>
  <si>
    <t>density</t>
  </si>
  <si>
    <t>Average weed height (cm)</t>
  </si>
  <si>
    <r>
      <t>Average weed density (weeds per m</t>
    </r>
    <r>
      <rPr>
        <b/>
        <sz val="10"/>
        <rFont val="Calibri"/>
        <family val="2"/>
      </rPr>
      <t>²</t>
    </r>
    <r>
      <rPr>
        <b/>
        <sz val="10"/>
        <rFont val="Arial"/>
        <family val="2"/>
      </rPr>
      <t>)</t>
    </r>
  </si>
  <si>
    <t>Yield</t>
  </si>
  <si>
    <t>Yield loss</t>
  </si>
  <si>
    <t>%</t>
  </si>
  <si>
    <t>D</t>
  </si>
  <si>
    <t>E</t>
  </si>
  <si>
    <t>Application cost ($/ha)</t>
  </si>
  <si>
    <t>Default threshold</t>
  </si>
  <si>
    <t>Threshold</t>
  </si>
  <si>
    <t>Threshold value</t>
  </si>
  <si>
    <t>Value</t>
  </si>
  <si>
    <t>When should they be controlled by??</t>
  </si>
  <si>
    <t>Critical Timing For Weed Removal</t>
  </si>
  <si>
    <t>upper asymptote</t>
  </si>
  <si>
    <t>lower asymptote (a+c)</t>
  </si>
  <si>
    <t>shape constants</t>
  </si>
  <si>
    <t>Unpublished</t>
  </si>
  <si>
    <t>Paper</t>
  </si>
  <si>
    <t>Grass</t>
  </si>
  <si>
    <t>GDD</t>
  </si>
  <si>
    <t>CTWR yield</t>
  </si>
  <si>
    <t>CWFP yield</t>
  </si>
  <si>
    <t>Product</t>
  </si>
  <si>
    <t>Typical rate</t>
  </si>
  <si>
    <t>Unit (L or kg)</t>
  </si>
  <si>
    <t>Actual rate</t>
  </si>
  <si>
    <t>$/ha</t>
  </si>
  <si>
    <t>time of weed addition (GDD)</t>
  </si>
  <si>
    <t>loss limit</t>
  </si>
  <si>
    <t>Predicted yield loss from this weed burden:</t>
  </si>
  <si>
    <t>Intersection with threshold</t>
  </si>
  <si>
    <t>= LN((E4/J4)-1)/F4*(G4*C4+D4)</t>
  </si>
  <si>
    <t>1-Threshold</t>
  </si>
  <si>
    <t>Target yield</t>
  </si>
  <si>
    <t>ie y = target yield</t>
  </si>
  <si>
    <t>y=Ae^(-e^(-B(dd-C+D*Ht+E*Dn)))</t>
  </si>
  <si>
    <t>lower bound</t>
  </si>
  <si>
    <t>upper bound</t>
  </si>
  <si>
    <t>Active ingredient</t>
  </si>
  <si>
    <t>bromoxynil</t>
  </si>
  <si>
    <t>terbuthylazine</t>
  </si>
  <si>
    <t>flumioxazin</t>
  </si>
  <si>
    <t>pyraflufen</t>
  </si>
  <si>
    <t>saflufenacil</t>
  </si>
  <si>
    <t>isoxaflutole</t>
  </si>
  <si>
    <t>paraquat</t>
  </si>
  <si>
    <t>glufosinate</t>
  </si>
  <si>
    <t>dicamba</t>
  </si>
  <si>
    <t>fluroxypyr</t>
  </si>
  <si>
    <t>oxyfluorfen</t>
  </si>
  <si>
    <t>carfentrazone</t>
  </si>
  <si>
    <t>glyphosate</t>
  </si>
  <si>
    <t>prometryn</t>
  </si>
  <si>
    <t>diuron</t>
  </si>
  <si>
    <t>pendimethalin</t>
  </si>
  <si>
    <t>trifluralin</t>
  </si>
  <si>
    <t>s-metolachlor</t>
  </si>
  <si>
    <t>metolachlor</t>
  </si>
  <si>
    <t>sethoxydim</t>
  </si>
  <si>
    <t>clethodim</t>
  </si>
  <si>
    <t>butroxydim</t>
  </si>
  <si>
    <t>haloxyfop</t>
  </si>
  <si>
    <t>2,2-DPA</t>
  </si>
  <si>
    <t>amitrole+paraquat</t>
  </si>
  <si>
    <t>paraquat+diquat</t>
  </si>
  <si>
    <t>Biffo</t>
  </si>
  <si>
    <t>Price per unit ($)</t>
  </si>
  <si>
    <t>L</t>
  </si>
  <si>
    <t>tralkoxydim</t>
  </si>
  <si>
    <t>Achieve WG</t>
  </si>
  <si>
    <t>kg</t>
  </si>
  <si>
    <t>Affinity Force</t>
  </si>
  <si>
    <t>quizalofop</t>
  </si>
  <si>
    <t>Aggressor</t>
  </si>
  <si>
    <t>Balance WG</t>
  </si>
  <si>
    <t>prosulfocarb + s-metolachlor</t>
  </si>
  <si>
    <t>Boxer Gold</t>
  </si>
  <si>
    <t>diclofop + sethoxydim + fenoxaprop</t>
  </si>
  <si>
    <t>Cheetah Gold</t>
  </si>
  <si>
    <t>CRUCIAL</t>
  </si>
  <si>
    <t>diclofop + sethoxydim</t>
  </si>
  <si>
    <t>Decision</t>
  </si>
  <si>
    <t>Diuron 900</t>
  </si>
  <si>
    <t>Prometryn 900</t>
  </si>
  <si>
    <t>Ecopar</t>
  </si>
  <si>
    <t>Factor WG</t>
  </si>
  <si>
    <t>Gramoxone 360 Pro</t>
  </si>
  <si>
    <t>Liberty</t>
  </si>
  <si>
    <t>Pendimethalin 440</t>
  </si>
  <si>
    <t>Roundup Ready PL</t>
  </si>
  <si>
    <t>Dual Gold</t>
  </si>
  <si>
    <t>Roundup Ready with PLANTSHIELD</t>
  </si>
  <si>
    <t>Roundup UltraMax</t>
  </si>
  <si>
    <t>propaquizafop</t>
  </si>
  <si>
    <t>Shogun</t>
  </si>
  <si>
    <t>Starane Advanced</t>
  </si>
  <si>
    <t>Status</t>
  </si>
  <si>
    <t>Striker</t>
  </si>
  <si>
    <t>Terbyne Xtreme</t>
  </si>
  <si>
    <t>Terrain</t>
  </si>
  <si>
    <t>TriflurX</t>
  </si>
  <si>
    <t>Verdict 520</t>
  </si>
  <si>
    <t>saflufenacil + trifludimoxazin</t>
  </si>
  <si>
    <t>Voraxor</t>
  </si>
  <si>
    <t>Weedmaster DST</t>
  </si>
  <si>
    <t>Guerilla</t>
  </si>
  <si>
    <t>Unused from CPMG:</t>
  </si>
  <si>
    <t>no price in guide</t>
  </si>
  <si>
    <t>chlorthal-dimethyl</t>
  </si>
  <si>
    <t>deregistered</t>
  </si>
  <si>
    <t>not suitable timing for CPWC (13.75/L)</t>
  </si>
  <si>
    <t>no suitable timing (29.75/L)</t>
  </si>
  <si>
    <t>Spray.Seed</t>
  </si>
  <si>
    <t>products available?</t>
  </si>
  <si>
    <t>Xtendimax 2</t>
  </si>
  <si>
    <t>Sharpen</t>
  </si>
  <si>
    <t>Pricing unavailable</t>
  </si>
  <si>
    <t>2,4-D</t>
  </si>
  <si>
    <t>not suitable timing for CPWC (8.29/L)</t>
  </si>
  <si>
    <t>Selection methods:</t>
  </si>
  <si>
    <t>By active ingredient</t>
  </si>
  <si>
    <t>By product name</t>
  </si>
  <si>
    <t>Manual entry</t>
  </si>
  <si>
    <t>/ha</t>
  </si>
  <si>
    <t>Specify a herbicide below</t>
  </si>
  <si>
    <t>Paddock name</t>
  </si>
  <si>
    <t>Cost of herbicide ($/ha)</t>
  </si>
  <si>
    <t>current GDD</t>
  </si>
  <si>
    <t>What situation describes your weed problem?</t>
  </si>
  <si>
    <t>Estimate # days from # GDD as well - regionally?</t>
  </si>
  <si>
    <t>For chart indicator lines:</t>
  </si>
  <si>
    <t xml:space="preserve">CTWR </t>
  </si>
  <si>
    <t xml:space="preserve">CWFP </t>
  </si>
  <si>
    <t>original tool</t>
  </si>
  <si>
    <t>Model description</t>
  </si>
  <si>
    <t>Intersect model</t>
  </si>
  <si>
    <t>Original tool equation</t>
  </si>
  <si>
    <t>weed height</t>
  </si>
  <si>
    <t>weed density</t>
  </si>
  <si>
    <t>Critical Weed-Free Period (Gompertz)</t>
  </si>
  <si>
    <t>y=Ae^(-e^(B(dd-C+(D*dd*Dn))))</t>
  </si>
  <si>
    <t>multi spp (2021)</t>
  </si>
  <si>
    <t>Biomass</t>
  </si>
  <si>
    <t>mungs (2020)</t>
  </si>
  <si>
    <t>y=Ae^(-e^(B(dd+C-(D*Dn))))</t>
  </si>
  <si>
    <t>sunflower (2019)</t>
  </si>
  <si>
    <t>y=A+C*e^(B*dd+(D*dd*Bm))</t>
  </si>
  <si>
    <t>=ln((A/y)-1)/B*(C*Ht+Dn)</t>
  </si>
  <si>
    <t>= (LN(-LN(y/A)) / -B) + C - (D * Ht) - (E * Dn))</t>
  </si>
  <si>
    <t>dd = ln((y - A) / C) / (B + D * Bm)</t>
  </si>
  <si>
    <t>User inputs &amp; calcs</t>
  </si>
  <si>
    <t>dd = (ln(-ln(y / A)) / B) - C + (D * Dn)</t>
  </si>
  <si>
    <t>Intersect prediction (lower and upper bounds)</t>
  </si>
  <si>
    <t>price at typical rate</t>
  </si>
  <si>
    <t>Indicated yield</t>
  </si>
  <si>
    <t>SELECTED MODEL</t>
  </si>
  <si>
    <t>Current model selection:</t>
  </si>
  <si>
    <t>List of model selections:</t>
  </si>
  <si>
    <t>Model Index:</t>
  </si>
  <si>
    <t>Model Index is used to determine which dataset appears in columns D&amp;E</t>
  </si>
  <si>
    <t>All items in List below will have an Index value</t>
  </si>
  <si>
    <t>All cells in D&amp;E must refer to the full table of possible models</t>
  </si>
  <si>
    <t>CTWR intersection</t>
  </si>
  <si>
    <t>CWFP intersection</t>
  </si>
  <si>
    <t>From front</t>
  </si>
  <si>
    <t>Intersection with GDD target</t>
  </si>
  <si>
    <t>(ctwr)</t>
  </si>
  <si>
    <t>(cwfp)</t>
  </si>
  <si>
    <t>Sunflower (2019)</t>
  </si>
  <si>
    <t>Mungs (2020)</t>
  </si>
  <si>
    <t>Is the model transcribed correctly?</t>
  </si>
  <si>
    <t>Guess:</t>
  </si>
  <si>
    <t>Output:</t>
  </si>
  <si>
    <t>dd = ((ln(A/y)-1)+C)/(B+D*Dn)</t>
  </si>
  <si>
    <t>equivalent to y=A * e^(-e^(dd*(B+D*Dn)-B*C))</t>
  </si>
  <si>
    <t>dd = ((ln(-ln(y / A))+(B*C))/(B+D*Dn)</t>
  </si>
  <si>
    <t>new sunflowers (2025)</t>
  </si>
  <si>
    <t>y=A/(1+e^(B*(dd-C+(D*dd*Dn)))</t>
  </si>
  <si>
    <t>New Sunflowers (2025)</t>
  </si>
  <si>
    <t>simplified:</t>
  </si>
  <si>
    <t>y=A/(1+e^(B*(dd*(1+D*Dn)-C))</t>
  </si>
  <si>
    <t>CTWR orig</t>
  </si>
  <si>
    <t>CWFP orig</t>
  </si>
  <si>
    <t>simp:</t>
  </si>
  <si>
    <t>CTWR simp</t>
  </si>
  <si>
    <t>CWFP simp</t>
  </si>
  <si>
    <t>y = A × e^(−e^[ B × (dd − C + D × dd × Dn) ])</t>
  </si>
  <si>
    <t>y=A/1+e^(B*(dd-C+(D*dd*Dn)))</t>
  </si>
  <si>
    <t>Try: =(1/B*(ln(A/y-1))+C)/(1+D*Dn)</t>
  </si>
  <si>
    <t>dd=((1/B)*ln(ln(A/y)+C)/(1+D*Dn)</t>
  </si>
  <si>
    <t>New Sunf 2025 simplified</t>
  </si>
  <si>
    <t>Analysis outcome:</t>
  </si>
  <si>
    <t>y= A * EXP(-EXP(B * (dd * (1 + D* Dn) - C)))</t>
  </si>
  <si>
    <t>simp inter:</t>
  </si>
  <si>
    <t>dd=((-ln(ln(y/A))/B)+C)/(1+D.Dn)</t>
  </si>
  <si>
    <t>Simplified equations might be slighly incorrect</t>
  </si>
  <si>
    <t>How many degree days have passed since crop planting?</t>
  </si>
  <si>
    <t>How many degree days after planting did these weeds emerge?</t>
  </si>
  <si>
    <t>❓</t>
  </si>
  <si>
    <t>How would you like to specify a weed control tactic?</t>
  </si>
  <si>
    <t>Extended sunnys 12</t>
  </si>
  <si>
    <t>F</t>
  </si>
  <si>
    <t>G</t>
  </si>
  <si>
    <t>extended sunnys 15.5</t>
  </si>
  <si>
    <t>Intersect Model</t>
  </si>
  <si>
    <t>Intersect prediction</t>
  </si>
  <si>
    <t>y=A*exp(-exp(B*(ddADD+C+Dn*D+Ht*E)))</t>
  </si>
  <si>
    <t>ctwr</t>
  </si>
  <si>
    <t>y=A*ddADD+(100-A*ddADD)/(1+e^(C*(ddREM-D+Ht*E+Ht*F*ddADD+Dn*G)))</t>
  </si>
  <si>
    <t>=(1/C)*ln((100-y)/(y-A*ddADD))+D-Ht*E-Ht*F*ddADD-Dn*G</t>
  </si>
  <si>
    <t>dd=(ln(-ln(y/A))/B)-C-Dn*D-Ht*E</t>
  </si>
  <si>
    <t>extended sunnys 12</t>
  </si>
  <si>
    <t>Extended sunnys 15.5</t>
  </si>
  <si>
    <t>Sunflower (2019) 12</t>
  </si>
  <si>
    <t>GGD type selection</t>
  </si>
  <si>
    <t>extended sunnys 15-32</t>
  </si>
  <si>
    <t>Extended sunnys 15/32</t>
  </si>
  <si>
    <t>cwfp</t>
  </si>
  <si>
    <t>alert text below:</t>
  </si>
  <si>
    <t>&lt; Click the cell at left to select a model</t>
  </si>
  <si>
    <t>Large broadleaf 15.5</t>
  </si>
  <si>
    <t>Large broadleaf 12</t>
  </si>
  <si>
    <t>Large broadleaf 15/32</t>
  </si>
  <si>
    <t>&lt; Click the cell at left to select a method</t>
  </si>
  <si>
    <t>Current indicated yield loss (100-yield)</t>
  </si>
  <si>
    <t>Current GDD:</t>
  </si>
  <si>
    <t>Current calc yield loss:</t>
  </si>
  <si>
    <t>Table of indicated responses to query:</t>
  </si>
  <si>
    <t>Weeds don't need to be controlled yet.</t>
  </si>
  <si>
    <t>This field has passed the window where weeds of the entered size and density would have a greater yield penalty than the cost of spraying with the suggested chemical.</t>
  </si>
  <si>
    <t>Table of IWM/HRMS responses</t>
  </si>
  <si>
    <t>Although these weeds are unlikely to cause a significant yield penalty, they can still set seed, creating future problems. Controlling these weeds prior to seed set is best practice.</t>
  </si>
  <si>
    <t>Decision statement:</t>
  </si>
  <si>
    <t>The Australian Cotton HRMS suggests using 6 different modes of action every two years. Consider using a different option next time, to manage resistance.</t>
  </si>
  <si>
    <t>Used only when no cotton yield value is set</t>
  </si>
  <si>
    <t>Equation result (within time window)</t>
  </si>
  <si>
    <t>Risk statement (HRMS)</t>
  </si>
  <si>
    <t>Please note:</t>
  </si>
  <si>
    <t>Am I past the CPWC?</t>
  </si>
  <si>
    <t>GDD to target:</t>
  </si>
  <si>
    <t>Pred height 1/4 way</t>
  </si>
  <si>
    <t>Pred height 1/2 way</t>
  </si>
  <si>
    <t>Pred height 3/4 way</t>
  </si>
  <si>
    <t>Pred height at target GDD:</t>
  </si>
  <si>
    <t>Yield loss 1/2 way</t>
  </si>
  <si>
    <t>Yield loss 3/4 way</t>
  </si>
  <si>
    <t>Yield loss closest to limit</t>
  </si>
  <si>
    <t>GDD at closest YL</t>
  </si>
  <si>
    <t>GDD to closest YL</t>
  </si>
  <si>
    <t>Days to closest YL</t>
  </si>
  <si>
    <t>% growth at current GDD</t>
  </si>
  <si>
    <t>Pred height at target GDD is calculated by multiplying % growth/GDD at current GDD by number of GDD left to the target</t>
  </si>
  <si>
    <t>GDD/day</t>
  </si>
  <si>
    <t>CTWR Yield loss 1/4 way</t>
  </si>
  <si>
    <t>GDD 1/4 way</t>
  </si>
  <si>
    <t>GDD 1/2 way</t>
  </si>
  <si>
    <t>GDD 3/4 way</t>
  </si>
  <si>
    <t>(uses density)</t>
  </si>
  <si>
    <t>(uses dens)</t>
  </si>
  <si>
    <t>Target Yield Loss</t>
  </si>
  <si>
    <t>days</t>
  </si>
  <si>
    <t>Predicted days left to enter CPWC:</t>
  </si>
  <si>
    <t>Predicted GDD left to enter CPWC:</t>
  </si>
  <si>
    <t>WAMITT</t>
  </si>
  <si>
    <t>ext mungs 12</t>
  </si>
  <si>
    <t>ext mungs 15.5</t>
  </si>
  <si>
    <t>ext mungs 15/32</t>
  </si>
  <si>
    <t>y=A*ddADD+(100-A*ddADD)/(1+e^(C*(ddREM-D+Dn*ddREM*E+Ht*F)))</t>
  </si>
  <si>
    <t>ddREM = ((1/C) * ln((100 - y) / (y - A * ddADD)) + D - Ht * F) / (1 + Dn * E)</t>
  </si>
  <si>
    <t>ddADD</t>
  </si>
  <si>
    <t>Ext mungs 12</t>
  </si>
  <si>
    <t>Ext mungs 15.5</t>
  </si>
  <si>
    <t>Ext mungs 15/32</t>
  </si>
  <si>
    <t>Small broadleaf 12</t>
  </si>
  <si>
    <t>Small broadleaf 15.5</t>
  </si>
  <si>
    <t>Small broadleaf 15/32</t>
  </si>
  <si>
    <t>What do the curves mean?</t>
  </si>
  <si>
    <t>What do the straight lines mean?</t>
  </si>
  <si>
    <t>Revised intersection (&gt;0)</t>
  </si>
  <si>
    <t>Multi 12</t>
  </si>
  <si>
    <t>Multi 15.5</t>
  </si>
  <si>
    <t>Multi 15/32</t>
  </si>
  <si>
    <t>Multi-species 12</t>
  </si>
  <si>
    <t>Multi-species 15.5</t>
  </si>
  <si>
    <t>Multi-species 15/32</t>
  </si>
  <si>
    <t>dd=(ln(-ln(y/100))/B)+C-Ht*D-Dn*E</t>
  </si>
  <si>
    <t>y=200/(1+exp(B*((D*Ht+Dn)*ddREM))</t>
  </si>
  <si>
    <t>y=100*exp(-exp((B*(ddADD-C+Ht*D+Dn*E)))</t>
  </si>
  <si>
    <t>Display Model Selections:</t>
  </si>
  <si>
    <t>base 12 selections</t>
  </si>
  <si>
    <t>base 15.5 selections</t>
  </si>
  <si>
    <t>15/32 selections</t>
  </si>
  <si>
    <t>List of base temp selections</t>
  </si>
  <si>
    <t>base 12 C</t>
  </si>
  <si>
    <t>base 15.5 C</t>
  </si>
  <si>
    <t>15.5-32 C</t>
  </si>
  <si>
    <t>How do you want to calculate growing degree days?</t>
  </si>
  <si>
    <t>Yield Loss Threshold:</t>
  </si>
  <si>
    <t>($/bale)</t>
  </si>
  <si>
    <t>(bales/ha)</t>
  </si>
  <si>
    <t>($/ha)</t>
  </si>
  <si>
    <t xml:space="preserve"> Cotton price </t>
  </si>
  <si>
    <t xml:space="preserve"> Cotton yield </t>
  </si>
  <si>
    <t xml:space="preserve"> Anticipated value:</t>
  </si>
  <si>
    <t>ddREM = ln((200 / y) - 1) / (B * (D * Ht + Dn))</t>
  </si>
  <si>
    <t>ddADD = (1 / B) * ln(-ln(y / 100)) + C - Ht * D - Dn * E</t>
  </si>
  <si>
    <t>Location List</t>
  </si>
  <si>
    <t>Central QLD</t>
  </si>
  <si>
    <t>Darling Downs</t>
  </si>
  <si>
    <t>St George</t>
  </si>
  <si>
    <t>Gwydir/Namoi</t>
  </si>
  <si>
    <t>Macquarie</t>
  </si>
  <si>
    <t>Murray/Murrumbidgee</t>
  </si>
  <si>
    <t>Northern QLD</t>
  </si>
  <si>
    <t>Katherine/Kununurra</t>
  </si>
  <si>
    <t>Equations</t>
  </si>
  <si>
    <t>a</t>
  </si>
  <si>
    <t>b</t>
  </si>
  <si>
    <t>c</t>
  </si>
  <si>
    <t>GDD/cumGDD = ax^2+bx+c</t>
  </si>
  <si>
    <t>Current base</t>
  </si>
  <si>
    <t>Current GDD/day today</t>
  </si>
  <si>
    <t>Current GDD</t>
  </si>
  <si>
    <t>Selected location</t>
  </si>
  <si>
    <t>Choose your nearest location</t>
  </si>
  <si>
    <t>Concat</t>
  </si>
  <si>
    <t>Central QLD12</t>
  </si>
  <si>
    <t>Central QLD15-32</t>
  </si>
  <si>
    <t>GGD/D</t>
  </si>
  <si>
    <t>Gwydir/Namoi12</t>
  </si>
  <si>
    <t>Gwydir/Namoi15-32</t>
  </si>
  <si>
    <t>Manual Threshold:</t>
  </si>
  <si>
    <t>Macquarie12</t>
  </si>
  <si>
    <t>Macquarie15-32</t>
  </si>
  <si>
    <t>Darling Downs12</t>
  </si>
  <si>
    <t>Darling Downs15-32</t>
  </si>
  <si>
    <t>St George12</t>
  </si>
  <si>
    <t>St George15-32</t>
  </si>
  <si>
    <t>Murray/Murrumbidgee12</t>
  </si>
  <si>
    <t>Murray/Murrumbidgee15-32</t>
  </si>
  <si>
    <t>Central QLD15.5</t>
  </si>
  <si>
    <t>Gwydir/Namoi15.5</t>
  </si>
  <si>
    <t>Macquarie15.5</t>
  </si>
  <si>
    <t>Darling Downs15.5</t>
  </si>
  <si>
    <t>St George15.5</t>
  </si>
  <si>
    <t>Murray/Murrumbidgee15.5</t>
  </si>
  <si>
    <t>Northern QLD12</t>
  </si>
  <si>
    <t>Northern QLD15.5</t>
  </si>
  <si>
    <t>Northern QLD15-32</t>
  </si>
  <si>
    <t>Katherine/Kununurra12</t>
  </si>
  <si>
    <t>Katherine/Kununurra15.5</t>
  </si>
  <si>
    <t>Katherine/Kununurra15-32</t>
  </si>
  <si>
    <t>Statement for front page</t>
  </si>
  <si>
    <t>Growth % per GDD</t>
  </si>
  <si>
    <t>k</t>
  </si>
  <si>
    <t>k0</t>
  </si>
  <si>
    <t>Large 12</t>
  </si>
  <si>
    <t>Large 15</t>
  </si>
  <si>
    <t>Small 12</t>
  </si>
  <si>
    <t>Small 15</t>
  </si>
  <si>
    <t>Mixed 12</t>
  </si>
  <si>
    <t>Mixed 15</t>
  </si>
  <si>
    <t>Current age of cohort</t>
  </si>
  <si>
    <t>Current % increase per GDD</t>
  </si>
  <si>
    <t>y=L/(1+exp(-k*(x-x0)))</t>
  </si>
  <si>
    <t>y=L/(1+(x/x0)^k)</t>
  </si>
  <si>
    <t>Chosen % incr/GDD</t>
  </si>
  <si>
    <t>Selected weed type</t>
  </si>
  <si>
    <t>Select model:</t>
  </si>
  <si>
    <t>Expected yield value:</t>
  </si>
  <si>
    <t>Am I before the CPWC?</t>
  </si>
  <si>
    <t>Manual threshold</t>
  </si>
  <si>
    <t>latest mungs 12</t>
  </si>
  <si>
    <t>latest mungs 15.5</t>
  </si>
  <si>
    <t>latest mungs 15/32</t>
  </si>
  <si>
    <t xml:space="preserve">latest sunnys 12 </t>
  </si>
  <si>
    <t>latest sunnys 15.5</t>
  </si>
  <si>
    <t>latest sunnys 15/32</t>
  </si>
  <si>
    <t>latest multi 12</t>
  </si>
  <si>
    <t>latest multi 15.5</t>
  </si>
  <si>
    <t>latest multi 15/32</t>
  </si>
  <si>
    <t>latest sunnys 12</t>
  </si>
  <si>
    <t>Latest mungs 12</t>
  </si>
  <si>
    <t>Latest mungs 15.5</t>
  </si>
  <si>
    <t>Latest mungs 15/32</t>
  </si>
  <si>
    <t>Latest sunnys 12</t>
  </si>
  <si>
    <t>Latest sunnys 15.5</t>
  </si>
  <si>
    <t>Latest sunnys 15/32</t>
  </si>
  <si>
    <t>CTWR</t>
  </si>
  <si>
    <t>CWFP</t>
  </si>
  <si>
    <t>correct?</t>
  </si>
  <si>
    <t>ddREM = ln((200 - A * ddADD) / (y - A * ddADD) - 1) / (C * (Ht * E + Dn + ddADD * F))</t>
  </si>
  <si>
    <t>y=100*exp(-exp(B*(ddADD-C+D*Ht+E*Dn)))</t>
  </si>
  <si>
    <t>y=A*ddADD+(200-A*ddADD)/(1+exp(C*(ddREM*(Ht*E+Dn+ddADD*F))))</t>
  </si>
  <si>
    <t>Herbicide Cost</t>
  </si>
  <si>
    <t>This is now drawn from ChartData worksheet</t>
  </si>
  <si>
    <t>Product (Alphabetical)</t>
  </si>
  <si>
    <t>Define the Critical Period with:</t>
  </si>
  <si>
    <t>Dropdown for threshold selection:</t>
  </si>
  <si>
    <t>Calculated threshold</t>
  </si>
  <si>
    <t>Reversed intersections?</t>
  </si>
  <si>
    <t>high threshold, bounds reversed?</t>
  </si>
  <si>
    <t>Herbicide (enter yours here)</t>
  </si>
  <si>
    <t>Potential value of lost yield is greater than weed control cost. Control weeds ASAP.</t>
  </si>
  <si>
    <t>An herbicide</t>
  </si>
  <si>
    <t>Application cost ($/ha) (Adjuvants, machinery etc)</t>
  </si>
  <si>
    <t>Total cost</t>
  </si>
  <si>
    <t>The Weeds Action Management Integrated Threshold Tool</t>
  </si>
  <si>
    <t>for Australian cotton production</t>
  </si>
  <si>
    <t>Technical Specialist Weeds, CottonInfo</t>
  </si>
  <si>
    <t>graham.charles15@outlook.com</t>
  </si>
  <si>
    <t>Innokas Intellectual Services</t>
  </si>
  <si>
    <t>david@innokasintel.com</t>
  </si>
  <si>
    <t>funded by the Australian Cotton Research and Development Corporation</t>
  </si>
  <si>
    <t>WAMITT and underlying modelling work was</t>
  </si>
  <si>
    <r>
      <t xml:space="preserve">WAMITT threshold models and concept created by </t>
    </r>
    <r>
      <rPr>
        <b/>
        <sz val="12"/>
        <rFont val="Arial"/>
        <family val="2"/>
      </rPr>
      <t>Dr Graham Charles</t>
    </r>
  </si>
  <si>
    <r>
      <t xml:space="preserve">Interface and additional modelling by </t>
    </r>
    <r>
      <rPr>
        <b/>
        <sz val="12"/>
        <rFont val="Arial"/>
        <family val="2"/>
      </rPr>
      <t>Dr David Thornby</t>
    </r>
  </si>
  <si>
    <t>Head to the 'Front Page' tab to use the tool.</t>
  </si>
  <si>
    <t>Enter values or select from dropdowns in the brown cells</t>
  </si>
  <si>
    <t>Click the ? cells to get more information</t>
  </si>
  <si>
    <t>Tester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</si>
</sst>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quot;$&quot;* #,##0.00_-;_-&quot;$&quot;* &quot;-&quot;??_-;_-@_-"/>
    <numFmt numFmtId="164" formatCode="0.0"/>
    <numFmt numFmtId="165" formatCode="0.0%"/>
    <numFmt numFmtId="166" formatCode="0.0000000000"/>
    <numFmt numFmtId="167" formatCode="&quot;$&quot;#,##0.00"/>
    <numFmt numFmtId="168" formatCode="&quot;$&quot;#,##0"/>
    <numFmt numFmtId="169" formatCode="0.000%"/>
  </numFmts>
  <fonts count="46" x14ac:knownFonts="1">
    <font>
      <sz val="10"/>
      <name val="Arial"/>
    </font>
    <font>
      <sz val="11"/>
      <color theme="1"/>
      <name val="Calibri"/>
      <family val="2"/>
      <scheme val="minor"/>
    </font>
    <font>
      <sz val="10"/>
      <name val="Arial"/>
      <family val="2"/>
    </font>
    <font>
      <b/>
      <sz val="10"/>
      <name val="Arial"/>
      <family val="2"/>
    </font>
    <font>
      <sz val="11"/>
      <color theme="1"/>
      <name val="Calibri"/>
      <family val="2"/>
      <scheme val="minor"/>
    </font>
    <font>
      <b/>
      <sz val="10"/>
      <color rgb="FFFF0000"/>
      <name val="Arial"/>
      <family val="2"/>
    </font>
    <font>
      <b/>
      <sz val="10"/>
      <name val="Calibri"/>
      <family val="2"/>
    </font>
    <font>
      <sz val="10"/>
      <color rgb="FFFF0000"/>
      <name val="Arial"/>
      <family val="2"/>
    </font>
    <font>
      <sz val="10"/>
      <name val="Arial"/>
      <family val="2"/>
    </font>
    <font>
      <sz val="11"/>
      <color rgb="FF006100"/>
      <name val="Calibri"/>
      <family val="2"/>
      <scheme val="minor"/>
    </font>
    <font>
      <sz val="11"/>
      <color rgb="FF9C5700"/>
      <name val="Calibri"/>
      <family val="2"/>
      <scheme val="minor"/>
    </font>
    <font>
      <b/>
      <sz val="12"/>
      <name val="Arial"/>
      <family val="2"/>
    </font>
    <font>
      <b/>
      <sz val="8"/>
      <color rgb="FFFF0000"/>
      <name val="Arial"/>
      <family val="2"/>
    </font>
    <font>
      <b/>
      <sz val="10"/>
      <color theme="3"/>
      <name val="Arial"/>
      <family val="2"/>
    </font>
    <font>
      <sz val="10"/>
      <color theme="3"/>
      <name val="Arial"/>
      <family val="2"/>
    </font>
    <font>
      <b/>
      <i/>
      <sz val="10"/>
      <name val="Arial"/>
      <family val="2"/>
    </font>
    <font>
      <b/>
      <sz val="18"/>
      <name val="Arial"/>
      <family val="2"/>
    </font>
    <font>
      <b/>
      <sz val="11"/>
      <color rgb="FF006100"/>
      <name val="Calibri"/>
      <family val="2"/>
      <scheme val="minor"/>
    </font>
    <font>
      <b/>
      <sz val="10"/>
      <color theme="0" tint="-0.249977111117893"/>
      <name val="Arial"/>
      <family val="2"/>
    </font>
    <font>
      <sz val="8"/>
      <color rgb="FFFF0000"/>
      <name val="Arial"/>
      <family val="2"/>
    </font>
    <font>
      <b/>
      <i/>
      <sz val="10"/>
      <color rgb="FFFF0000"/>
      <name val="Arial"/>
      <family val="2"/>
    </font>
    <font>
      <sz val="8"/>
      <color rgb="FF002060"/>
      <name val="Arial"/>
      <family val="2"/>
    </font>
    <font>
      <b/>
      <sz val="8"/>
      <name val="Arial"/>
      <family val="2"/>
    </font>
    <font>
      <b/>
      <sz val="14"/>
      <name val="Arial"/>
      <family val="2"/>
    </font>
    <font>
      <b/>
      <sz val="11"/>
      <color rgb="FFFF0000"/>
      <name val="Arial"/>
      <family val="2"/>
    </font>
    <font>
      <sz val="9"/>
      <color rgb="FFFF0000"/>
      <name val="Arial"/>
      <family val="2"/>
    </font>
    <font>
      <sz val="10"/>
      <color theme="9" tint="-0.249977111117893"/>
      <name val="Arial"/>
      <family val="2"/>
    </font>
    <font>
      <b/>
      <sz val="10"/>
      <color theme="8" tint="0.79998168889431442"/>
      <name val="Arial"/>
      <family val="2"/>
    </font>
    <font>
      <b/>
      <sz val="10"/>
      <color theme="1"/>
      <name val="Arial"/>
      <family val="2"/>
    </font>
    <font>
      <b/>
      <sz val="11"/>
      <color theme="8" tint="0.79998168889431442"/>
      <name val="Arial"/>
      <family val="2"/>
    </font>
    <font>
      <b/>
      <sz val="11"/>
      <name val="Arial"/>
      <family val="2"/>
    </font>
    <font>
      <b/>
      <sz val="11"/>
      <color rgb="FF9C5700"/>
      <name val="Calibri"/>
      <family val="2"/>
      <scheme val="minor"/>
    </font>
    <font>
      <sz val="8"/>
      <name val="Arial"/>
      <family val="2"/>
    </font>
    <font>
      <i/>
      <sz val="10"/>
      <color rgb="FFFF0000"/>
      <name val="Arial"/>
      <family val="2"/>
    </font>
    <font>
      <sz val="10"/>
      <color theme="0" tint="-0.249977111117893"/>
      <name val="Arial"/>
      <family val="2"/>
    </font>
    <font>
      <b/>
      <sz val="8"/>
      <color theme="8" tint="-0.499984740745262"/>
      <name val="Arial"/>
      <family val="2"/>
    </font>
    <font>
      <b/>
      <sz val="11"/>
      <color theme="1"/>
      <name val="Calibri"/>
      <family val="2"/>
      <scheme val="minor"/>
    </font>
    <font>
      <b/>
      <sz val="14"/>
      <color rgb="FFFF0000"/>
      <name val="Arial"/>
      <family val="2"/>
    </font>
    <font>
      <sz val="10"/>
      <color theme="1"/>
      <name val="Arial"/>
      <family val="2"/>
    </font>
    <font>
      <sz val="10"/>
      <color theme="1"/>
      <name val="Arial"/>
    </font>
    <font>
      <b/>
      <sz val="10"/>
      <color theme="0"/>
      <name val="Arial"/>
      <family val="2"/>
    </font>
    <font>
      <b/>
      <i/>
      <sz val="10"/>
      <color theme="3"/>
      <name val="Arial"/>
      <family val="2"/>
    </font>
    <font>
      <u/>
      <sz val="10"/>
      <color theme="10"/>
      <name val="Arial"/>
    </font>
    <font>
      <sz val="72"/>
      <color rgb="FFFF0000"/>
      <name val="Arial Rounded MT Bold"/>
      <family val="2"/>
    </font>
    <font>
      <sz val="12"/>
      <name val="Arial"/>
      <family val="2"/>
    </font>
    <font>
      <u/>
      <sz val="12"/>
      <color theme="10"/>
      <name val="Arial"/>
      <family val="2"/>
    </font>
  </fonts>
  <fills count="34">
    <fill>
      <patternFill patternType="none"/>
    </fill>
    <fill>
      <patternFill patternType="gray125"/>
    </fill>
    <fill>
      <patternFill patternType="solid">
        <fgColor theme="6" tint="0.79998168889431442"/>
        <bgColor indexed="64"/>
      </patternFill>
    </fill>
    <fill>
      <patternFill patternType="solid">
        <fgColor rgb="FFFFFF00"/>
        <bgColor indexed="64"/>
      </patternFill>
    </fill>
    <fill>
      <patternFill patternType="solid">
        <fgColor rgb="FFC6EFCE"/>
      </patternFill>
    </fill>
    <fill>
      <patternFill patternType="solid">
        <fgColor rgb="FFFFEB9C"/>
      </patternFill>
    </fill>
    <fill>
      <patternFill patternType="solid">
        <fgColor theme="2"/>
        <bgColor indexed="64"/>
      </patternFill>
    </fill>
    <fill>
      <patternFill patternType="solid">
        <fgColor theme="1" tint="0.49998474074526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59999389629810485"/>
        <bgColor indexed="64"/>
      </patternFill>
    </fill>
    <fill>
      <patternFill patternType="solid">
        <fgColor theme="6"/>
        <bgColor indexed="64"/>
      </patternFill>
    </fill>
    <fill>
      <patternFill patternType="solid">
        <fgColor theme="6" tint="0.39997558519241921"/>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5" tint="0.39997558519241921"/>
        <bgColor indexed="64"/>
      </patternFill>
    </fill>
    <fill>
      <patternFill patternType="solid">
        <fgColor theme="8" tint="0.79998168889431442"/>
        <bgColor indexed="64"/>
      </patternFill>
    </fill>
    <fill>
      <patternFill patternType="solid">
        <fgColor theme="7" tint="0.39997558519241921"/>
        <bgColor indexed="64"/>
      </patternFill>
    </fill>
    <fill>
      <patternFill patternType="solid">
        <fgColor theme="2" tint="-9.9978637043366805E-2"/>
        <bgColor indexed="64"/>
      </patternFill>
    </fill>
    <fill>
      <patternFill patternType="solid">
        <fgColor theme="8" tint="0.39997558519241921"/>
        <bgColor indexed="64"/>
      </patternFill>
    </fill>
    <fill>
      <patternFill patternType="solid">
        <fgColor theme="9" tint="-0.499984740745262"/>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theme="8" tint="0.59999389629810485"/>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79998168889431442"/>
        <bgColor indexed="64"/>
      </patternFill>
    </fill>
    <fill>
      <patternFill patternType="solid">
        <fgColor theme="5"/>
        <bgColor indexed="64"/>
      </patternFill>
    </fill>
    <fill>
      <patternFill patternType="solid">
        <fgColor theme="2" tint="-0.249977111117893"/>
        <bgColor indexed="64"/>
      </patternFill>
    </fill>
    <fill>
      <patternFill patternType="solid">
        <fgColor theme="2" tint="-0.499984740745262"/>
        <bgColor indexed="64"/>
      </patternFill>
    </fill>
    <fill>
      <patternFill patternType="solid">
        <fgColor theme="5" tint="0.59999389629810485"/>
        <bgColor indexed="64"/>
      </patternFill>
    </fill>
    <fill>
      <patternFill patternType="solid">
        <fgColor theme="6"/>
        <bgColor theme="6"/>
      </patternFill>
    </fill>
    <fill>
      <patternFill patternType="solid">
        <fgColor theme="7" tint="0.79998168889431442"/>
        <bgColor indexed="64"/>
      </patternFill>
    </fill>
    <fill>
      <patternFill patternType="solid">
        <fgColor rgb="FFFF000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6"/>
      </left>
      <right/>
      <top style="thin">
        <color theme="6"/>
      </top>
      <bottom/>
      <diagonal/>
    </border>
    <border>
      <left style="thin">
        <color theme="6"/>
      </left>
      <right/>
      <top style="thin">
        <color theme="6"/>
      </top>
      <bottom style="thin">
        <color theme="6"/>
      </bottom>
      <diagonal/>
    </border>
    <border>
      <left/>
      <right/>
      <top style="thin">
        <color indexed="64"/>
      </top>
      <bottom style="double">
        <color indexed="64"/>
      </bottom>
      <diagonal/>
    </border>
  </borders>
  <cellStyleXfs count="7">
    <xf numFmtId="0" fontId="0" fillId="0" borderId="0"/>
    <xf numFmtId="0" fontId="4" fillId="0" borderId="0"/>
    <xf numFmtId="9" fontId="2" fillId="0" borderId="0" applyFont="0" applyFill="0" applyBorder="0" applyAlignment="0" applyProtection="0"/>
    <xf numFmtId="44" fontId="2" fillId="0" borderId="0" applyFont="0" applyFill="0" applyBorder="0" applyAlignment="0" applyProtection="0"/>
    <xf numFmtId="0" fontId="9" fillId="4" borderId="0" applyNumberFormat="0" applyBorder="0" applyAlignment="0" applyProtection="0"/>
    <xf numFmtId="0" fontId="10" fillId="5" borderId="0" applyNumberFormat="0" applyBorder="0" applyAlignment="0" applyProtection="0"/>
    <xf numFmtId="0" fontId="42" fillId="0" borderId="0" applyNumberFormat="0" applyFill="0" applyBorder="0" applyAlignment="0" applyProtection="0"/>
  </cellStyleXfs>
  <cellXfs count="277">
    <xf numFmtId="0" fontId="0" fillId="0" borderId="0" xfId="0"/>
    <xf numFmtId="0" fontId="3" fillId="0" borderId="0" xfId="0" applyFont="1" applyAlignment="1">
      <alignment horizontal="center"/>
    </xf>
    <xf numFmtId="0" fontId="3" fillId="0" borderId="0" xfId="0" applyFont="1" applyAlignment="1">
      <alignment horizontal="left"/>
    </xf>
    <xf numFmtId="0" fontId="3" fillId="2" borderId="1" xfId="0" applyFont="1" applyFill="1" applyBorder="1" applyAlignment="1">
      <alignment horizontal="center"/>
    </xf>
    <xf numFmtId="0" fontId="3" fillId="0" borderId="0" xfId="0" applyFont="1" applyAlignment="1">
      <alignment horizontal="right"/>
    </xf>
    <xf numFmtId="0" fontId="3" fillId="3" borderId="0" xfId="0" applyFont="1" applyFill="1" applyAlignment="1">
      <alignment horizontal="center"/>
    </xf>
    <xf numFmtId="0" fontId="0" fillId="0" borderId="0" xfId="0" applyAlignment="1">
      <alignment horizontal="center"/>
    </xf>
    <xf numFmtId="166" fontId="0" fillId="0" borderId="0" xfId="0" applyNumberFormat="1" applyAlignment="1">
      <alignment horizontal="center"/>
    </xf>
    <xf numFmtId="10" fontId="3" fillId="2" borderId="0" xfId="2" applyNumberFormat="1" applyFont="1" applyFill="1" applyAlignment="1">
      <alignment horizontal="center"/>
    </xf>
    <xf numFmtId="164" fontId="3" fillId="2" borderId="0" xfId="0" applyNumberFormat="1" applyFont="1" applyFill="1" applyAlignment="1">
      <alignment horizontal="center"/>
    </xf>
    <xf numFmtId="165" fontId="3" fillId="2" borderId="1" xfId="2" applyNumberFormat="1" applyFont="1" applyFill="1" applyBorder="1" applyAlignment="1">
      <alignment horizontal="center"/>
    </xf>
    <xf numFmtId="9" fontId="3" fillId="2" borderId="1" xfId="2" applyFont="1" applyFill="1" applyBorder="1" applyAlignment="1">
      <alignment horizontal="center"/>
    </xf>
    <xf numFmtId="0" fontId="7" fillId="0" borderId="0" xfId="0" applyFont="1" applyAlignment="1">
      <alignment horizontal="left"/>
    </xf>
    <xf numFmtId="0" fontId="7" fillId="0" borderId="0" xfId="0" applyFont="1" applyAlignment="1">
      <alignment horizontal="center"/>
    </xf>
    <xf numFmtId="0" fontId="8" fillId="0" borderId="0" xfId="0" applyFont="1"/>
    <xf numFmtId="0" fontId="8" fillId="0" borderId="0" xfId="0" applyFont="1" applyAlignment="1">
      <alignment horizontal="center"/>
    </xf>
    <xf numFmtId="0" fontId="8" fillId="0" borderId="0" xfId="0" quotePrefix="1" applyFont="1" applyAlignment="1">
      <alignment horizontal="center"/>
    </xf>
    <xf numFmtId="165" fontId="0" fillId="0" borderId="0" xfId="0" applyNumberFormat="1" applyAlignment="1">
      <alignment horizontal="center"/>
    </xf>
    <xf numFmtId="1" fontId="3" fillId="0" borderId="0" xfId="0" quotePrefix="1" applyNumberFormat="1" applyFont="1" applyAlignment="1">
      <alignment horizontal="center"/>
    </xf>
    <xf numFmtId="0" fontId="8" fillId="0" borderId="0" xfId="0" quotePrefix="1" applyFont="1" applyAlignment="1">
      <alignment horizontal="left"/>
    </xf>
    <xf numFmtId="1" fontId="3" fillId="0" borderId="0" xfId="0" applyNumberFormat="1" applyFont="1" applyAlignment="1">
      <alignment horizontal="center"/>
    </xf>
    <xf numFmtId="0" fontId="3" fillId="0" borderId="0" xfId="0" applyFont="1"/>
    <xf numFmtId="2" fontId="0" fillId="0" borderId="0" xfId="0" applyNumberFormat="1"/>
    <xf numFmtId="44" fontId="3" fillId="2" borderId="1" xfId="0" applyNumberFormat="1" applyFont="1" applyFill="1" applyBorder="1" applyAlignment="1">
      <alignment horizontal="center"/>
    </xf>
    <xf numFmtId="0" fontId="7" fillId="0" borderId="0" xfId="0" applyFont="1"/>
    <xf numFmtId="0" fontId="9" fillId="4" borderId="0" xfId="4" applyAlignment="1">
      <alignment horizontal="center"/>
    </xf>
    <xf numFmtId="1" fontId="9" fillId="4" borderId="0" xfId="4" applyNumberFormat="1" applyAlignment="1">
      <alignment horizontal="center"/>
    </xf>
    <xf numFmtId="0" fontId="17" fillId="4" borderId="0" xfId="4" applyFont="1" applyAlignment="1">
      <alignment horizontal="center"/>
    </xf>
    <xf numFmtId="0" fontId="9" fillId="4" borderId="0" xfId="4" applyAlignment="1">
      <alignment horizontal="right"/>
    </xf>
    <xf numFmtId="0" fontId="10" fillId="5" borderId="0" xfId="5" applyAlignment="1">
      <alignment horizontal="center"/>
    </xf>
    <xf numFmtId="0" fontId="10" fillId="5" borderId="0" xfId="5" applyAlignment="1">
      <alignment horizontal="right"/>
    </xf>
    <xf numFmtId="1" fontId="10" fillId="5" borderId="0" xfId="5" applyNumberFormat="1" applyAlignment="1">
      <alignment horizontal="center"/>
    </xf>
    <xf numFmtId="0" fontId="18" fillId="0" borderId="0" xfId="0" applyFont="1" applyAlignment="1">
      <alignment horizontal="left"/>
    </xf>
    <xf numFmtId="0" fontId="18" fillId="2" borderId="1" xfId="0" applyFont="1" applyFill="1" applyBorder="1" applyAlignment="1">
      <alignment horizontal="center"/>
    </xf>
    <xf numFmtId="44" fontId="0" fillId="0" borderId="0" xfId="3" applyFont="1"/>
    <xf numFmtId="0" fontId="3" fillId="8" borderId="0" xfId="0" applyFont="1" applyFill="1"/>
    <xf numFmtId="0" fontId="0" fillId="8" borderId="0" xfId="0" applyFill="1"/>
    <xf numFmtId="0" fontId="0" fillId="9" borderId="11" xfId="0" applyFill="1" applyBorder="1"/>
    <xf numFmtId="0" fontId="8" fillId="10" borderId="12" xfId="0" applyFont="1" applyFill="1" applyBorder="1"/>
    <xf numFmtId="0" fontId="3" fillId="9" borderId="10" xfId="0" applyFont="1" applyFill="1" applyBorder="1"/>
    <xf numFmtId="0" fontId="3" fillId="10" borderId="10" xfId="0" applyFont="1" applyFill="1" applyBorder="1"/>
    <xf numFmtId="0" fontId="8" fillId="11" borderId="10" xfId="0" applyFont="1" applyFill="1" applyBorder="1"/>
    <xf numFmtId="0" fontId="0" fillId="11" borderId="11" xfId="0" applyFill="1" applyBorder="1"/>
    <xf numFmtId="0" fontId="8" fillId="12" borderId="0" xfId="0" applyFont="1" applyFill="1"/>
    <xf numFmtId="0" fontId="3" fillId="12" borderId="0" xfId="0" applyFont="1" applyFill="1"/>
    <xf numFmtId="0" fontId="0" fillId="12" borderId="0" xfId="0" applyFill="1"/>
    <xf numFmtId="0" fontId="19" fillId="0" borderId="0" xfId="0" applyFont="1" applyAlignment="1">
      <alignment horizontal="left"/>
    </xf>
    <xf numFmtId="0" fontId="5" fillId="0" borderId="0" xfId="0" applyFont="1" applyAlignment="1">
      <alignment horizontal="right"/>
    </xf>
    <xf numFmtId="0" fontId="20" fillId="0" borderId="0" xfId="0" applyFont="1" applyAlignment="1">
      <alignment horizontal="right"/>
    </xf>
    <xf numFmtId="2" fontId="7" fillId="0" borderId="0" xfId="0" applyNumberFormat="1" applyFont="1"/>
    <xf numFmtId="0" fontId="8" fillId="0" borderId="0" xfId="0" quotePrefix="1" applyFont="1"/>
    <xf numFmtId="0" fontId="8" fillId="7" borderId="0" xfId="0" applyFont="1" applyFill="1"/>
    <xf numFmtId="0" fontId="3" fillId="7" borderId="0" xfId="0" applyFont="1" applyFill="1"/>
    <xf numFmtId="0" fontId="0" fillId="7" borderId="0" xfId="0" applyFill="1"/>
    <xf numFmtId="0" fontId="8" fillId="6" borderId="0" xfId="0" applyFont="1" applyFill="1"/>
    <xf numFmtId="0" fontId="0" fillId="6" borderId="0" xfId="0" applyFill="1"/>
    <xf numFmtId="0" fontId="3" fillId="6" borderId="0" xfId="0" applyFont="1" applyFill="1"/>
    <xf numFmtId="0" fontId="7" fillId="13" borderId="0" xfId="0" applyFont="1" applyFill="1"/>
    <xf numFmtId="0" fontId="0" fillId="13" borderId="0" xfId="0" applyFill="1"/>
    <xf numFmtId="0" fontId="5" fillId="13" borderId="0" xfId="0" applyFont="1" applyFill="1"/>
    <xf numFmtId="0" fontId="3" fillId="13" borderId="0" xfId="0" applyFont="1" applyFill="1"/>
    <xf numFmtId="0" fontId="8" fillId="13" borderId="0" xfId="0" applyFont="1" applyFill="1"/>
    <xf numFmtId="0" fontId="8" fillId="14" borderId="0" xfId="0" applyFont="1" applyFill="1"/>
    <xf numFmtId="0" fontId="0" fillId="14" borderId="0" xfId="0" applyFill="1"/>
    <xf numFmtId="0" fontId="3" fillId="14" borderId="0" xfId="0" applyFont="1" applyFill="1"/>
    <xf numFmtId="0" fontId="8" fillId="15" borderId="10" xfId="0" applyFont="1" applyFill="1" applyBorder="1"/>
    <xf numFmtId="0" fontId="0" fillId="15" borderId="11" xfId="0" applyFill="1" applyBorder="1"/>
    <xf numFmtId="0" fontId="16" fillId="16" borderId="0" xfId="0" applyFont="1" applyFill="1" applyAlignment="1">
      <alignment horizontal="left"/>
    </xf>
    <xf numFmtId="0" fontId="3" fillId="16" borderId="0" xfId="0" applyFont="1" applyFill="1" applyAlignment="1">
      <alignment horizontal="center"/>
    </xf>
    <xf numFmtId="0" fontId="3" fillId="16" borderId="0" xfId="0" applyFont="1" applyFill="1" applyAlignment="1">
      <alignment horizontal="left"/>
    </xf>
    <xf numFmtId="0" fontId="12" fillId="16" borderId="0" xfId="0" applyFont="1" applyFill="1" applyAlignment="1">
      <alignment horizontal="left"/>
    </xf>
    <xf numFmtId="0" fontId="22" fillId="16" borderId="0" xfId="0" applyFont="1" applyFill="1" applyAlignment="1">
      <alignment horizontal="center"/>
    </xf>
    <xf numFmtId="0" fontId="3" fillId="16" borderId="0" xfId="0" applyFont="1" applyFill="1" applyAlignment="1">
      <alignment horizontal="right"/>
    </xf>
    <xf numFmtId="0" fontId="23" fillId="16" borderId="0" xfId="0" applyFont="1" applyFill="1" applyAlignment="1">
      <alignment horizontal="right"/>
    </xf>
    <xf numFmtId="0" fontId="5" fillId="16" borderId="0" xfId="0" applyFont="1" applyFill="1" applyAlignment="1">
      <alignment horizontal="center"/>
    </xf>
    <xf numFmtId="0" fontId="11" fillId="16" borderId="0" xfId="0" applyFont="1" applyFill="1" applyAlignment="1">
      <alignment horizontal="left"/>
    </xf>
    <xf numFmtId="0" fontId="5" fillId="16" borderId="0" xfId="0" applyFont="1" applyFill="1" applyAlignment="1">
      <alignment horizontal="left"/>
    </xf>
    <xf numFmtId="168" fontId="3" fillId="16" borderId="0" xfId="0" applyNumberFormat="1" applyFont="1" applyFill="1" applyAlignment="1">
      <alignment horizontal="center"/>
    </xf>
    <xf numFmtId="167" fontId="3" fillId="16" borderId="0" xfId="0" applyNumberFormat="1" applyFont="1" applyFill="1" applyAlignment="1">
      <alignment horizontal="center"/>
    </xf>
    <xf numFmtId="1" fontId="3" fillId="16" borderId="0" xfId="0" applyNumberFormat="1" applyFont="1" applyFill="1" applyAlignment="1">
      <alignment horizontal="center"/>
    </xf>
    <xf numFmtId="0" fontId="8" fillId="17" borderId="0" xfId="0" applyFont="1" applyFill="1"/>
    <xf numFmtId="0" fontId="25" fillId="0" borderId="0" xfId="0" applyFont="1"/>
    <xf numFmtId="0" fontId="26" fillId="0" borderId="0" xfId="0" applyFont="1"/>
    <xf numFmtId="0" fontId="30" fillId="16" borderId="2" xfId="0" applyFont="1" applyFill="1" applyBorder="1" applyAlignment="1">
      <alignment horizontal="left"/>
    </xf>
    <xf numFmtId="0" fontId="3" fillId="16" borderId="3" xfId="0" applyFont="1" applyFill="1" applyBorder="1" applyAlignment="1">
      <alignment horizontal="center"/>
    </xf>
    <xf numFmtId="0" fontId="21" fillId="16" borderId="4" xfId="0" applyFont="1" applyFill="1" applyBorder="1" applyAlignment="1">
      <alignment horizontal="left"/>
    </xf>
    <xf numFmtId="0" fontId="3" fillId="16" borderId="5" xfId="0" applyFont="1" applyFill="1" applyBorder="1" applyAlignment="1">
      <alignment horizontal="left"/>
    </xf>
    <xf numFmtId="0" fontId="30" fillId="16" borderId="5" xfId="0" applyFont="1" applyFill="1" applyBorder="1" applyAlignment="1">
      <alignment horizontal="left"/>
    </xf>
    <xf numFmtId="0" fontId="3" fillId="16" borderId="6" xfId="0" applyFont="1" applyFill="1" applyBorder="1" applyAlignment="1">
      <alignment horizontal="center"/>
    </xf>
    <xf numFmtId="0" fontId="3" fillId="16" borderId="7" xfId="0" applyFont="1" applyFill="1" applyBorder="1" applyAlignment="1">
      <alignment horizontal="right"/>
    </xf>
    <xf numFmtId="165" fontId="23" fillId="16" borderId="0" xfId="0" applyNumberFormat="1" applyFont="1" applyFill="1" applyAlignment="1">
      <alignment horizontal="left"/>
    </xf>
    <xf numFmtId="0" fontId="3" fillId="18" borderId="1" xfId="0" applyFont="1" applyFill="1" applyBorder="1" applyAlignment="1" applyProtection="1">
      <alignment horizontal="center"/>
      <protection locked="0"/>
    </xf>
    <xf numFmtId="0" fontId="29" fillId="16" borderId="0" xfId="0" applyFont="1" applyFill="1" applyAlignment="1" applyProtection="1">
      <alignment horizontal="center"/>
      <protection locked="0"/>
    </xf>
    <xf numFmtId="0" fontId="29" fillId="16" borderId="6" xfId="0" applyFont="1" applyFill="1" applyBorder="1" applyAlignment="1" applyProtection="1">
      <alignment horizontal="center"/>
      <protection locked="0"/>
    </xf>
    <xf numFmtId="0" fontId="27" fillId="16" borderId="8" xfId="0" applyFont="1" applyFill="1" applyBorder="1" applyAlignment="1" applyProtection="1">
      <alignment horizontal="center"/>
      <protection locked="0"/>
    </xf>
    <xf numFmtId="0" fontId="27" fillId="16" borderId="9" xfId="0" applyFont="1" applyFill="1" applyBorder="1" applyAlignment="1" applyProtection="1">
      <alignment horizontal="center"/>
      <protection locked="0"/>
    </xf>
    <xf numFmtId="168" fontId="3" fillId="18" borderId="1" xfId="0" applyNumberFormat="1" applyFont="1" applyFill="1" applyBorder="1" applyAlignment="1" applyProtection="1">
      <alignment horizontal="center"/>
      <protection locked="0"/>
    </xf>
    <xf numFmtId="0" fontId="24" fillId="16" borderId="0" xfId="0" applyFont="1" applyFill="1" applyAlignment="1">
      <alignment horizontal="left"/>
    </xf>
    <xf numFmtId="0" fontId="8" fillId="0" borderId="0" xfId="0" applyFont="1" applyAlignment="1">
      <alignment horizontal="right"/>
    </xf>
    <xf numFmtId="0" fontId="7" fillId="0" borderId="0" xfId="0" applyFont="1" applyAlignment="1">
      <alignment horizontal="right"/>
    </xf>
    <xf numFmtId="2" fontId="0" fillId="8" borderId="0" xfId="0" applyNumberFormat="1" applyFill="1"/>
    <xf numFmtId="2" fontId="0" fillId="6" borderId="0" xfId="0" applyNumberFormat="1" applyFill="1"/>
    <xf numFmtId="2" fontId="7" fillId="13" borderId="0" xfId="0" applyNumberFormat="1" applyFont="1" applyFill="1"/>
    <xf numFmtId="2" fontId="8" fillId="13" borderId="0" xfId="0" applyNumberFormat="1" applyFont="1" applyFill="1"/>
    <xf numFmtId="2" fontId="8" fillId="14" borderId="0" xfId="0" applyNumberFormat="1" applyFont="1" applyFill="1"/>
    <xf numFmtId="2" fontId="0" fillId="14" borderId="0" xfId="0" applyNumberFormat="1" applyFill="1"/>
    <xf numFmtId="2" fontId="0" fillId="7" borderId="0" xfId="0" applyNumberFormat="1" applyFill="1"/>
    <xf numFmtId="0" fontId="8" fillId="19" borderId="13" xfId="0" applyFont="1" applyFill="1" applyBorder="1"/>
    <xf numFmtId="2" fontId="3" fillId="19" borderId="14" xfId="0" applyNumberFormat="1" applyFont="1" applyFill="1" applyBorder="1"/>
    <xf numFmtId="0" fontId="10" fillId="5" borderId="0" xfId="5" applyAlignment="1">
      <alignment horizontal="left"/>
    </xf>
    <xf numFmtId="0" fontId="31" fillId="5" borderId="0" xfId="5" applyFont="1" applyAlignment="1">
      <alignment horizontal="left"/>
    </xf>
    <xf numFmtId="0" fontId="0" fillId="0" borderId="0" xfId="0" applyAlignment="1">
      <alignment horizontal="left"/>
    </xf>
    <xf numFmtId="0" fontId="8" fillId="0" borderId="0" xfId="0" applyFont="1" applyAlignment="1">
      <alignment horizontal="left"/>
    </xf>
    <xf numFmtId="0" fontId="0" fillId="19" borderId="0" xfId="0" applyFill="1" applyAlignment="1">
      <alignment horizontal="left"/>
    </xf>
    <xf numFmtId="0" fontId="32" fillId="0" borderId="0" xfId="0" applyFont="1" applyAlignment="1">
      <alignment horizontal="right"/>
    </xf>
    <xf numFmtId="0" fontId="3" fillId="16" borderId="0" xfId="0" applyFont="1" applyFill="1"/>
    <xf numFmtId="0" fontId="32" fillId="16" borderId="0" xfId="0" applyFont="1" applyFill="1" applyAlignment="1">
      <alignment horizontal="left"/>
    </xf>
    <xf numFmtId="0" fontId="2" fillId="0" borderId="0" xfId="0" applyFont="1"/>
    <xf numFmtId="0" fontId="2" fillId="8" borderId="0" xfId="0" applyFont="1" applyFill="1"/>
    <xf numFmtId="0" fontId="8" fillId="8" borderId="0" xfId="0" applyFont="1" applyFill="1"/>
    <xf numFmtId="0" fontId="2" fillId="10" borderId="12" xfId="0" applyFont="1" applyFill="1" applyBorder="1"/>
    <xf numFmtId="0" fontId="7" fillId="12" borderId="0" xfId="0" applyFont="1" applyFill="1"/>
    <xf numFmtId="1" fontId="33" fillId="8" borderId="0" xfId="0" applyNumberFormat="1" applyFont="1" applyFill="1"/>
    <xf numFmtId="0" fontId="33" fillId="8" borderId="0" xfId="0" applyFont="1" applyFill="1"/>
    <xf numFmtId="0" fontId="33" fillId="6" borderId="0" xfId="0" applyFont="1" applyFill="1"/>
    <xf numFmtId="0" fontId="7" fillId="14" borderId="0" xfId="0" applyFont="1" applyFill="1"/>
    <xf numFmtId="0" fontId="33" fillId="7" borderId="0" xfId="0" applyFont="1" applyFill="1"/>
    <xf numFmtId="0" fontId="7" fillId="7" borderId="0" xfId="0" applyFont="1" applyFill="1"/>
    <xf numFmtId="0" fontId="7" fillId="8" borderId="0" xfId="0" applyFont="1" applyFill="1"/>
    <xf numFmtId="0" fontId="19" fillId="16" borderId="0" xfId="0" applyFont="1" applyFill="1" applyAlignment="1">
      <alignment horizontal="left"/>
    </xf>
    <xf numFmtId="0" fontId="24" fillId="16" borderId="0" xfId="0" applyFont="1" applyFill="1" applyAlignment="1">
      <alignment horizontal="right"/>
    </xf>
    <xf numFmtId="0" fontId="2" fillId="10" borderId="11" xfId="0" applyFont="1" applyFill="1" applyBorder="1"/>
    <xf numFmtId="0" fontId="34" fillId="16" borderId="0" xfId="0" applyFont="1" applyFill="1" applyAlignment="1">
      <alignment horizontal="center"/>
    </xf>
    <xf numFmtId="0" fontId="2" fillId="20" borderId="0" xfId="0" applyFont="1" applyFill="1"/>
    <xf numFmtId="0" fontId="2" fillId="21" borderId="0" xfId="0" applyFont="1" applyFill="1"/>
    <xf numFmtId="0" fontId="2" fillId="22" borderId="0" xfId="0" applyFont="1" applyFill="1"/>
    <xf numFmtId="0" fontId="0" fillId="22" borderId="0" xfId="0" applyFill="1"/>
    <xf numFmtId="0" fontId="3" fillId="22" borderId="0" xfId="0" applyFont="1" applyFill="1"/>
    <xf numFmtId="0" fontId="2" fillId="16" borderId="0" xfId="0" applyFont="1" applyFill="1"/>
    <xf numFmtId="0" fontId="3" fillId="16" borderId="0" xfId="0" applyFont="1" applyFill="1" applyAlignment="1">
      <alignment horizontal="left" wrapText="1"/>
    </xf>
    <xf numFmtId="0" fontId="30" fillId="16" borderId="0" xfId="0" applyFont="1" applyFill="1" applyAlignment="1">
      <alignment horizontal="left" wrapText="1"/>
    </xf>
    <xf numFmtId="0" fontId="11" fillId="16" borderId="0" xfId="0" applyFont="1" applyFill="1" applyAlignment="1">
      <alignment horizontal="left" wrapText="1"/>
    </xf>
    <xf numFmtId="0" fontId="24" fillId="16" borderId="5" xfId="0" applyFont="1" applyFill="1" applyBorder="1" applyAlignment="1">
      <alignment horizontal="left"/>
    </xf>
    <xf numFmtId="44" fontId="13" fillId="18" borderId="0" xfId="3" applyFont="1" applyFill="1" applyBorder="1" applyAlignment="1" applyProtection="1">
      <alignment horizontal="center"/>
      <protection locked="0"/>
    </xf>
    <xf numFmtId="0" fontId="33" fillId="13" borderId="0" xfId="0" applyFont="1" applyFill="1"/>
    <xf numFmtId="0" fontId="33" fillId="14" borderId="0" xfId="0" applyFont="1" applyFill="1"/>
    <xf numFmtId="0" fontId="0" fillId="16" borderId="0" xfId="0" applyFill="1"/>
    <xf numFmtId="0" fontId="33" fillId="16" borderId="0" xfId="0" applyFont="1" applyFill="1"/>
    <xf numFmtId="2" fontId="0" fillId="16" borderId="0" xfId="0" applyNumberFormat="1" applyFill="1"/>
    <xf numFmtId="0" fontId="0" fillId="23" borderId="0" xfId="0" applyFill="1"/>
    <xf numFmtId="0" fontId="3" fillId="23" borderId="0" xfId="0" applyFont="1" applyFill="1"/>
    <xf numFmtId="0" fontId="33" fillId="23" borderId="0" xfId="0" applyFont="1" applyFill="1"/>
    <xf numFmtId="2" fontId="0" fillId="23" borderId="0" xfId="0" applyNumberFormat="1" applyFill="1"/>
    <xf numFmtId="0" fontId="0" fillId="19" borderId="0" xfId="0" applyFill="1"/>
    <xf numFmtId="0" fontId="3" fillId="19" borderId="0" xfId="0" applyFont="1" applyFill="1"/>
    <xf numFmtId="0" fontId="33" fillId="19" borderId="0" xfId="0" applyFont="1" applyFill="1"/>
    <xf numFmtId="2" fontId="0" fillId="19" borderId="0" xfId="0" applyNumberFormat="1" applyFill="1"/>
    <xf numFmtId="0" fontId="2" fillId="24" borderId="0" xfId="0" applyFont="1" applyFill="1"/>
    <xf numFmtId="0" fontId="0" fillId="24" borderId="0" xfId="0" applyFill="1"/>
    <xf numFmtId="0" fontId="3" fillId="24" borderId="0" xfId="0" applyFont="1" applyFill="1"/>
    <xf numFmtId="0" fontId="33" fillId="24" borderId="0" xfId="0" applyFont="1" applyFill="1"/>
    <xf numFmtId="0" fontId="7" fillId="24" borderId="0" xfId="0" applyFont="1" applyFill="1"/>
    <xf numFmtId="0" fontId="8" fillId="24" borderId="0" xfId="0" applyFont="1" applyFill="1"/>
    <xf numFmtId="2" fontId="0" fillId="24" borderId="0" xfId="0" applyNumberFormat="1" applyFill="1"/>
    <xf numFmtId="0" fontId="2" fillId="25" borderId="0" xfId="0" applyFont="1" applyFill="1"/>
    <xf numFmtId="0" fontId="0" fillId="25" borderId="0" xfId="0" applyFill="1"/>
    <xf numFmtId="0" fontId="3" fillId="25" borderId="0" xfId="0" applyFont="1" applyFill="1"/>
    <xf numFmtId="0" fontId="33" fillId="25" borderId="0" xfId="0" applyFont="1" applyFill="1"/>
    <xf numFmtId="0" fontId="7" fillId="25" borderId="0" xfId="0" applyFont="1" applyFill="1"/>
    <xf numFmtId="0" fontId="8" fillId="25" borderId="0" xfId="0" applyFont="1" applyFill="1"/>
    <xf numFmtId="2" fontId="0" fillId="25" borderId="0" xfId="0" applyNumberFormat="1" applyFill="1"/>
    <xf numFmtId="0" fontId="8" fillId="10" borderId="0" xfId="0" applyFont="1" applyFill="1"/>
    <xf numFmtId="0" fontId="0" fillId="10" borderId="0" xfId="0" applyFill="1"/>
    <xf numFmtId="0" fontId="3" fillId="10" borderId="0" xfId="0" applyFont="1" applyFill="1"/>
    <xf numFmtId="0" fontId="33" fillId="10" borderId="0" xfId="0" applyFont="1" applyFill="1"/>
    <xf numFmtId="2" fontId="0" fillId="10" borderId="0" xfId="0" applyNumberFormat="1" applyFill="1"/>
    <xf numFmtId="0" fontId="8" fillId="22" borderId="0" xfId="0" applyFont="1" applyFill="1"/>
    <xf numFmtId="0" fontId="33" fillId="22" borderId="0" xfId="0" applyFont="1" applyFill="1"/>
    <xf numFmtId="2" fontId="0" fillId="22" borderId="0" xfId="0" applyNumberFormat="1" applyFill="1"/>
    <xf numFmtId="0" fontId="8" fillId="21" borderId="0" xfId="0" applyFont="1" applyFill="1"/>
    <xf numFmtId="0" fontId="0" fillId="21" borderId="0" xfId="0" applyFill="1"/>
    <xf numFmtId="0" fontId="3" fillId="21" borderId="0" xfId="0" applyFont="1" applyFill="1"/>
    <xf numFmtId="0" fontId="33" fillId="21" borderId="0" xfId="0" applyFont="1" applyFill="1"/>
    <xf numFmtId="2" fontId="0" fillId="21" borderId="0" xfId="0" applyNumberFormat="1" applyFill="1"/>
    <xf numFmtId="0" fontId="3" fillId="16" borderId="0" xfId="0" applyFont="1" applyFill="1" applyAlignment="1" applyProtection="1">
      <alignment horizontal="center"/>
      <protection locked="0"/>
    </xf>
    <xf numFmtId="11" fontId="0" fillId="0" borderId="0" xfId="0" applyNumberFormat="1"/>
    <xf numFmtId="11" fontId="2" fillId="0" borderId="0" xfId="0" applyNumberFormat="1" applyFont="1"/>
    <xf numFmtId="0" fontId="2" fillId="26" borderId="0" xfId="0" applyFont="1" applyFill="1"/>
    <xf numFmtId="0" fontId="0" fillId="26" borderId="0" xfId="0" applyFill="1"/>
    <xf numFmtId="0" fontId="3" fillId="26" borderId="0" xfId="0" applyFont="1" applyFill="1"/>
    <xf numFmtId="0" fontId="35" fillId="16" borderId="3" xfId="0" applyFont="1" applyFill="1" applyBorder="1" applyAlignment="1">
      <alignment horizontal="center"/>
    </xf>
    <xf numFmtId="11" fontId="36" fillId="0" borderId="0" xfId="0" applyNumberFormat="1" applyFont="1" applyAlignment="1">
      <alignment horizontal="center"/>
    </xf>
    <xf numFmtId="0" fontId="36" fillId="0" borderId="0" xfId="0" applyFont="1" applyAlignment="1">
      <alignment horizontal="center"/>
    </xf>
    <xf numFmtId="0" fontId="1" fillId="0" borderId="0" xfId="0" applyFont="1" applyAlignment="1">
      <alignment horizontal="left"/>
    </xf>
    <xf numFmtId="10" fontId="0" fillId="0" borderId="0" xfId="2" applyNumberFormat="1" applyFont="1"/>
    <xf numFmtId="169" fontId="0" fillId="0" borderId="0" xfId="2" applyNumberFormat="1" applyFont="1"/>
    <xf numFmtId="0" fontId="9" fillId="0" borderId="0" xfId="4" applyFill="1" applyAlignment="1">
      <alignment horizontal="center"/>
    </xf>
    <xf numFmtId="0" fontId="9" fillId="0" borderId="0" xfId="4" applyFill="1" applyAlignment="1">
      <alignment horizontal="right"/>
    </xf>
    <xf numFmtId="0" fontId="0" fillId="13" borderId="0" xfId="0" applyFill="1" applyAlignment="1">
      <alignment horizontal="center"/>
    </xf>
    <xf numFmtId="0" fontId="3" fillId="13" borderId="8" xfId="0" applyFont="1" applyFill="1" applyBorder="1" applyAlignment="1">
      <alignment horizontal="center"/>
    </xf>
    <xf numFmtId="1" fontId="3" fillId="13" borderId="0" xfId="0" applyNumberFormat="1" applyFont="1" applyFill="1" applyAlignment="1">
      <alignment horizontal="center"/>
    </xf>
    <xf numFmtId="0" fontId="3" fillId="13" borderId="0" xfId="0" applyFont="1" applyFill="1" applyAlignment="1">
      <alignment horizontal="center"/>
    </xf>
    <xf numFmtId="0" fontId="3" fillId="18" borderId="0" xfId="0" applyFont="1" applyFill="1" applyAlignment="1" applyProtection="1">
      <alignment horizontal="center"/>
      <protection locked="0"/>
    </xf>
    <xf numFmtId="0" fontId="28" fillId="16" borderId="0" xfId="0" applyFont="1" applyFill="1" applyAlignment="1">
      <alignment horizontal="left"/>
    </xf>
    <xf numFmtId="0" fontId="28" fillId="16" borderId="0" xfId="0" applyFont="1" applyFill="1" applyAlignment="1">
      <alignment horizontal="center"/>
    </xf>
    <xf numFmtId="0" fontId="14" fillId="16" borderId="0" xfId="0" applyFont="1" applyFill="1" applyAlignment="1">
      <alignment horizontal="left"/>
    </xf>
    <xf numFmtId="0" fontId="13" fillId="18" borderId="0" xfId="0" applyFont="1" applyFill="1" applyAlignment="1" applyProtection="1">
      <alignment horizontal="center"/>
      <protection locked="0"/>
    </xf>
    <xf numFmtId="0" fontId="15" fillId="16" borderId="0" xfId="0" applyFont="1" applyFill="1" applyAlignment="1">
      <alignment horizontal="right"/>
    </xf>
    <xf numFmtId="0" fontId="19" fillId="16" borderId="0" xfId="0" applyFont="1" applyFill="1" applyAlignment="1">
      <alignment horizontal="left" wrapText="1"/>
    </xf>
    <xf numFmtId="0" fontId="15" fillId="16" borderId="0" xfId="0" applyFont="1" applyFill="1" applyAlignment="1">
      <alignment horizontal="left" wrapText="1"/>
    </xf>
    <xf numFmtId="0" fontId="30" fillId="16" borderId="0" xfId="0" applyFont="1" applyFill="1" applyAlignment="1">
      <alignment horizontal="right" vertical="center"/>
    </xf>
    <xf numFmtId="0" fontId="23" fillId="16" borderId="0" xfId="0" applyFont="1" applyFill="1" applyAlignment="1">
      <alignment horizontal="right" vertical="center"/>
    </xf>
    <xf numFmtId="44" fontId="13" fillId="16" borderId="0" xfId="3" applyFont="1" applyFill="1" applyBorder="1" applyAlignment="1" applyProtection="1">
      <alignment horizontal="center"/>
    </xf>
    <xf numFmtId="0" fontId="2" fillId="18" borderId="0" xfId="0" applyFont="1" applyFill="1"/>
    <xf numFmtId="0" fontId="0" fillId="18" borderId="0" xfId="0" applyFill="1"/>
    <xf numFmtId="0" fontId="3" fillId="18" borderId="0" xfId="0" applyFont="1" applyFill="1"/>
    <xf numFmtId="0" fontId="33" fillId="18" borderId="0" xfId="0" applyFont="1" applyFill="1"/>
    <xf numFmtId="0" fontId="8" fillId="18" borderId="0" xfId="0" applyFont="1" applyFill="1"/>
    <xf numFmtId="2" fontId="0" fillId="18" borderId="0" xfId="0" applyNumberFormat="1" applyFill="1"/>
    <xf numFmtId="0" fontId="2" fillId="28" borderId="0" xfId="0" applyFont="1" applyFill="1"/>
    <xf numFmtId="0" fontId="0" fillId="28" borderId="0" xfId="0" applyFill="1"/>
    <xf numFmtId="0" fontId="3" fillId="28" borderId="0" xfId="0" applyFont="1" applyFill="1"/>
    <xf numFmtId="0" fontId="33" fillId="28" borderId="0" xfId="0" applyFont="1" applyFill="1"/>
    <xf numFmtId="0" fontId="8" fillId="28" borderId="0" xfId="0" applyFont="1" applyFill="1"/>
    <xf numFmtId="2" fontId="0" fillId="28" borderId="0" xfId="0" applyNumberFormat="1" applyFill="1"/>
    <xf numFmtId="0" fontId="2" fillId="29" borderId="0" xfId="0" applyFont="1" applyFill="1"/>
    <xf numFmtId="0" fontId="0" fillId="29" borderId="0" xfId="0" applyFill="1"/>
    <xf numFmtId="0" fontId="3" fillId="29" borderId="0" xfId="0" applyFont="1" applyFill="1"/>
    <xf numFmtId="0" fontId="33" fillId="29" borderId="0" xfId="0" applyFont="1" applyFill="1"/>
    <xf numFmtId="0" fontId="8" fillId="29" borderId="0" xfId="0" applyFont="1" applyFill="1"/>
    <xf numFmtId="2" fontId="0" fillId="29" borderId="0" xfId="0" applyNumberFormat="1" applyFill="1"/>
    <xf numFmtId="0" fontId="2" fillId="9" borderId="0" xfId="0" applyFont="1" applyFill="1"/>
    <xf numFmtId="0" fontId="0" fillId="9" borderId="0" xfId="0" applyFill="1"/>
    <xf numFmtId="0" fontId="3" fillId="9" borderId="0" xfId="0" applyFont="1" applyFill="1"/>
    <xf numFmtId="0" fontId="33" fillId="9" borderId="0" xfId="0" applyFont="1" applyFill="1"/>
    <xf numFmtId="0" fontId="8" fillId="9" borderId="0" xfId="0" applyFont="1" applyFill="1"/>
    <xf numFmtId="2" fontId="0" fillId="9" borderId="0" xfId="0" applyNumberFormat="1" applyFill="1"/>
    <xf numFmtId="0" fontId="2" fillId="30" borderId="0" xfId="0" applyFont="1" applyFill="1"/>
    <xf numFmtId="0" fontId="0" fillId="30" borderId="0" xfId="0" applyFill="1"/>
    <xf numFmtId="0" fontId="3" fillId="30" borderId="0" xfId="0" applyFont="1" applyFill="1"/>
    <xf numFmtId="0" fontId="33" fillId="30" borderId="0" xfId="0" applyFont="1" applyFill="1"/>
    <xf numFmtId="0" fontId="8" fillId="30" borderId="0" xfId="0" applyFont="1" applyFill="1"/>
    <xf numFmtId="2" fontId="0" fillId="30" borderId="0" xfId="0" applyNumberFormat="1" applyFill="1"/>
    <xf numFmtId="0" fontId="2" fillId="15" borderId="0" xfId="0" applyFont="1" applyFill="1"/>
    <xf numFmtId="0" fontId="0" fillId="15" borderId="0" xfId="0" applyFill="1"/>
    <xf numFmtId="0" fontId="3" fillId="15" borderId="0" xfId="0" applyFont="1" applyFill="1"/>
    <xf numFmtId="0" fontId="33" fillId="15" borderId="0" xfId="0" applyFont="1" applyFill="1"/>
    <xf numFmtId="0" fontId="8" fillId="15" borderId="0" xfId="0" applyFont="1" applyFill="1"/>
    <xf numFmtId="2" fontId="0" fillId="15" borderId="0" xfId="0" applyNumberFormat="1" applyFill="1"/>
    <xf numFmtId="0" fontId="39" fillId="0" borderId="15" xfId="0" applyFont="1" applyBorder="1"/>
    <xf numFmtId="0" fontId="39" fillId="0" borderId="16" xfId="0" applyFont="1" applyBorder="1"/>
    <xf numFmtId="0" fontId="40" fillId="31" borderId="15" xfId="0" applyFont="1" applyFill="1" applyBorder="1"/>
    <xf numFmtId="0" fontId="38" fillId="0" borderId="15" xfId="0" applyFont="1" applyBorder="1"/>
    <xf numFmtId="0" fontId="3" fillId="32" borderId="0" xfId="0" applyFont="1" applyFill="1"/>
    <xf numFmtId="0" fontId="2" fillId="32" borderId="0" xfId="0" applyFont="1" applyFill="1"/>
    <xf numFmtId="0" fontId="2" fillId="0" borderId="0" xfId="0" applyFont="1" applyAlignment="1">
      <alignment horizontal="center"/>
    </xf>
    <xf numFmtId="0" fontId="3" fillId="16" borderId="0" xfId="0" applyFont="1" applyFill="1" applyAlignment="1">
      <alignment horizontal="right" vertical="center"/>
    </xf>
    <xf numFmtId="165" fontId="3" fillId="18" borderId="1" xfId="2" applyNumberFormat="1" applyFont="1" applyFill="1" applyBorder="1" applyAlignment="1" applyProtection="1">
      <alignment horizontal="center" vertical="center"/>
      <protection locked="0"/>
    </xf>
    <xf numFmtId="165" fontId="3" fillId="16" borderId="0" xfId="0" applyNumberFormat="1" applyFont="1" applyFill="1" applyAlignment="1">
      <alignment horizontal="center" vertical="center"/>
    </xf>
    <xf numFmtId="0" fontId="0" fillId="33" borderId="0" xfId="0" applyFill="1"/>
    <xf numFmtId="0" fontId="0" fillId="33" borderId="0" xfId="0" applyFill="1" applyAlignment="1">
      <alignment horizontal="center"/>
    </xf>
    <xf numFmtId="0" fontId="2" fillId="33" borderId="0" xfId="0" applyFont="1" applyFill="1" applyAlignment="1">
      <alignment horizontal="right"/>
    </xf>
    <xf numFmtId="0" fontId="3" fillId="33" borderId="0" xfId="0" applyFont="1" applyFill="1" applyAlignment="1">
      <alignment horizontal="center"/>
    </xf>
    <xf numFmtId="0" fontId="3" fillId="33" borderId="0" xfId="0" applyFont="1" applyFill="1"/>
    <xf numFmtId="0" fontId="13" fillId="18" borderId="0" xfId="0" applyFont="1" applyFill="1" applyAlignment="1" applyProtection="1">
      <alignment horizontal="left"/>
      <protection locked="0"/>
    </xf>
    <xf numFmtId="0" fontId="3" fillId="18" borderId="0" xfId="0" applyFont="1" applyFill="1" applyAlignment="1" applyProtection="1">
      <alignment horizontal="center" vertical="center"/>
      <protection locked="0"/>
    </xf>
    <xf numFmtId="0" fontId="15" fillId="27" borderId="0" xfId="0" applyFont="1" applyFill="1"/>
    <xf numFmtId="0" fontId="37" fillId="16" borderId="0" xfId="0" applyFont="1" applyFill="1" applyAlignment="1">
      <alignment horizontal="left" vertical="center"/>
    </xf>
    <xf numFmtId="0" fontId="3" fillId="3" borderId="0" xfId="0" applyFont="1" applyFill="1" applyAlignment="1">
      <alignment horizontal="center"/>
    </xf>
    <xf numFmtId="44" fontId="41" fillId="16" borderId="0" xfId="3" applyFont="1" applyFill="1" applyBorder="1" applyAlignment="1">
      <alignment horizontal="center"/>
    </xf>
    <xf numFmtId="44" fontId="13" fillId="16" borderId="17" xfId="0" applyNumberFormat="1" applyFont="1" applyFill="1" applyBorder="1" applyAlignment="1">
      <alignment horizontal="center"/>
    </xf>
    <xf numFmtId="0" fontId="41" fillId="16" borderId="0" xfId="0" quotePrefix="1" applyFont="1" applyFill="1" applyAlignment="1">
      <alignment horizontal="left"/>
    </xf>
    <xf numFmtId="0" fontId="43" fillId="0" borderId="0" xfId="0" applyFont="1"/>
    <xf numFmtId="0" fontId="11" fillId="0" borderId="0" xfId="0" applyFont="1"/>
    <xf numFmtId="0" fontId="44" fillId="0" borderId="0" xfId="0" applyFont="1"/>
    <xf numFmtId="0" fontId="45" fillId="0" borderId="0" xfId="6" applyFont="1"/>
    <xf numFmtId="0" fontId="24" fillId="16" borderId="3" xfId="0" applyFont="1" applyFill="1" applyBorder="1" applyAlignment="1">
      <alignment horizontal="left"/>
    </xf>
  </cellXfs>
  <cellStyles count="7">
    <cellStyle name="Currency" xfId="3" builtinId="4"/>
    <cellStyle name="Good" xfId="4" builtinId="26"/>
    <cellStyle name="Hyperlink" xfId="6" builtinId="8"/>
    <cellStyle name="Neutral" xfId="5" builtinId="28"/>
    <cellStyle name="Normal" xfId="0" builtinId="0"/>
    <cellStyle name="Normal 2" xfId="1" xr:uid="{00000000-0005-0000-0000-000001000000}"/>
    <cellStyle name="Per cent" xfId="2" builtinId="5"/>
  </cellStyles>
  <dxfs count="14">
    <dxf>
      <font>
        <color theme="1"/>
      </font>
      <fill>
        <patternFill>
          <bgColor theme="2" tint="-9.9948118533890809E-2"/>
        </patternFill>
      </fill>
      <border>
        <left style="thin">
          <color auto="1"/>
        </left>
        <right style="thin">
          <color auto="1"/>
        </right>
        <top style="thin">
          <color auto="1"/>
        </top>
        <bottom style="thin">
          <color auto="1"/>
        </bottom>
        <vertical/>
        <horizontal/>
      </border>
    </dxf>
    <dxf>
      <font>
        <color theme="1"/>
      </font>
      <fill>
        <patternFill>
          <bgColor theme="2" tint="-9.9948118533890809E-2"/>
        </patternFill>
      </fill>
      <border>
        <left style="thin">
          <color auto="1"/>
        </left>
        <right style="thin">
          <color auto="1"/>
        </right>
        <top style="thin">
          <color auto="1"/>
        </top>
        <bottom style="thin">
          <color auto="1"/>
        </bottom>
        <vertical/>
        <horizontal/>
      </border>
    </dxf>
    <dxf>
      <font>
        <color theme="1"/>
      </font>
      <fill>
        <patternFill>
          <bgColor theme="2" tint="-9.9948118533890809E-2"/>
        </patternFill>
      </fill>
      <border>
        <left style="thin">
          <color auto="1"/>
        </left>
        <right style="thin">
          <color auto="1"/>
        </right>
        <top style="thin">
          <color auto="1"/>
        </top>
        <bottom style="thin">
          <color auto="1"/>
        </bottom>
        <vertical/>
        <horizontal/>
      </border>
    </dxf>
    <dxf>
      <font>
        <color theme="1"/>
      </font>
      <fill>
        <patternFill>
          <bgColor theme="2" tint="-9.9948118533890809E-2"/>
        </patternFill>
      </fill>
      <border>
        <left style="thin">
          <color auto="1"/>
        </left>
        <right style="thin">
          <color auto="1"/>
        </right>
        <top style="thin">
          <color auto="1"/>
        </top>
        <bottom style="thin">
          <color auto="1"/>
        </bottom>
        <vertical/>
        <horizontal/>
      </border>
    </dxf>
    <dxf>
      <font>
        <color theme="1"/>
      </font>
      <fill>
        <patternFill>
          <bgColor theme="2" tint="-9.9948118533890809E-2"/>
        </patternFill>
      </fill>
      <border>
        <left style="thin">
          <color auto="1"/>
        </left>
        <right style="thin">
          <color auto="1"/>
        </right>
        <top style="thin">
          <color auto="1"/>
        </top>
        <bottom style="thin">
          <color auto="1"/>
        </bottom>
        <vertical/>
        <horizontal/>
      </border>
    </dxf>
    <dxf>
      <font>
        <color theme="1"/>
      </font>
      <fill>
        <patternFill>
          <bgColor theme="2" tint="-9.9948118533890809E-2"/>
        </patternFill>
      </fill>
      <border>
        <left style="thin">
          <color auto="1"/>
        </left>
        <right style="thin">
          <color auto="1"/>
        </right>
        <top style="thin">
          <color auto="1"/>
        </top>
        <bottom style="thin">
          <color auto="1"/>
        </bottom>
        <vertical/>
        <horizontal/>
      </border>
    </dxf>
    <dxf>
      <font>
        <strike val="0"/>
        <color theme="8" tint="0.79998168889431442"/>
      </font>
      <fill>
        <patternFill>
          <bgColor theme="8" tint="0.79998168889431442"/>
        </patternFill>
      </fill>
      <border>
        <left/>
        <right/>
        <top/>
        <bottom/>
        <vertical/>
        <horizontal/>
      </border>
    </dxf>
    <dxf>
      <font>
        <color theme="8" tint="0.79998168889431442"/>
      </font>
      <fill>
        <patternFill>
          <bgColor theme="8" tint="0.79998168889431442"/>
        </patternFill>
      </fill>
      <border>
        <left/>
        <right/>
        <top/>
        <bottom/>
        <vertical/>
        <horizontal/>
      </border>
    </dxf>
    <dxf>
      <font>
        <color theme="8" tint="0.79998168889431442"/>
      </font>
      <fill>
        <patternFill>
          <bgColor theme="8" tint="0.79998168889431442"/>
        </patternFill>
      </fill>
      <border>
        <left/>
        <right/>
        <top/>
        <bottom/>
        <vertical/>
        <horizontal/>
      </border>
    </dxf>
    <dxf>
      <font>
        <b val="0"/>
        <i val="0"/>
        <strike val="0"/>
        <condense val="0"/>
        <extend val="0"/>
        <outline val="0"/>
        <shadow val="0"/>
        <u val="none"/>
        <vertAlign val="baseline"/>
        <sz val="10"/>
        <color auto="1"/>
        <name val="Arial"/>
        <family val="2"/>
        <scheme val="none"/>
      </font>
    </dxf>
    <dxf>
      <font>
        <b val="0"/>
        <i val="0"/>
        <strike val="0"/>
        <condense val="0"/>
        <extend val="0"/>
        <outline val="0"/>
        <shadow val="0"/>
        <u val="none"/>
        <vertAlign val="baseline"/>
        <sz val="10"/>
        <color auto="1"/>
        <name val="Arial"/>
        <family val="2"/>
        <scheme val="none"/>
      </font>
    </dxf>
    <dxf>
      <font>
        <b val="0"/>
        <i val="0"/>
        <strike val="0"/>
        <condense val="0"/>
        <extend val="0"/>
        <outline val="0"/>
        <shadow val="0"/>
        <u val="none"/>
        <vertAlign val="baseline"/>
        <sz val="10"/>
        <color auto="1"/>
        <name val="Arial"/>
        <family val="2"/>
        <scheme val="none"/>
      </font>
    </dxf>
    <dxf>
      <numFmt numFmtId="2" formatCode="0.00"/>
    </dxf>
    <dxf>
      <font>
        <b/>
        <i val="0"/>
        <strike val="0"/>
        <condense val="0"/>
        <extend val="0"/>
        <outline val="0"/>
        <shadow val="0"/>
        <u val="none"/>
        <vertAlign val="baseline"/>
        <sz val="10"/>
        <color auto="1"/>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smoothMarker"/>
        <c:varyColors val="0"/>
        <c:ser>
          <c:idx val="0"/>
          <c:order val="0"/>
          <c:tx>
            <c:v>yield CTWR</c:v>
          </c:tx>
          <c:spPr>
            <a:ln w="34925" cap="rnd">
              <a:solidFill>
                <a:schemeClr val="accent1"/>
              </a:solidFill>
              <a:round/>
            </a:ln>
            <a:effectLst>
              <a:outerShdw blurRad="40000" dist="23000" dir="5400000" rotWithShape="0">
                <a:srgbClr val="000000">
                  <a:alpha val="35000"/>
                </a:srgbClr>
              </a:outerShdw>
            </a:effectLst>
          </c:spPr>
          <c:marker>
            <c:symbol val="none"/>
          </c:marker>
          <c:xVal>
            <c:numRef>
              <c:f>ChartData!$B$3:$B$68</c:f>
              <c:numCache>
                <c:formatCode>General</c:formatCode>
                <c:ptCount val="66"/>
                <c:pt idx="0">
                  <c:v>0</c:v>
                </c:pt>
                <c:pt idx="1">
                  <c:v>10</c:v>
                </c:pt>
                <c:pt idx="2">
                  <c:v>20</c:v>
                </c:pt>
                <c:pt idx="3">
                  <c:v>30</c:v>
                </c:pt>
                <c:pt idx="4">
                  <c:v>40</c:v>
                </c:pt>
                <c:pt idx="5">
                  <c:v>50</c:v>
                </c:pt>
                <c:pt idx="6">
                  <c:v>60</c:v>
                </c:pt>
                <c:pt idx="7">
                  <c:v>70</c:v>
                </c:pt>
                <c:pt idx="8">
                  <c:v>80</c:v>
                </c:pt>
                <c:pt idx="9">
                  <c:v>90</c:v>
                </c:pt>
                <c:pt idx="10">
                  <c:v>100</c:v>
                </c:pt>
                <c:pt idx="11">
                  <c:v>120</c:v>
                </c:pt>
                <c:pt idx="12">
                  <c:v>140</c:v>
                </c:pt>
                <c:pt idx="13">
                  <c:v>160</c:v>
                </c:pt>
                <c:pt idx="14">
                  <c:v>180</c:v>
                </c:pt>
                <c:pt idx="15">
                  <c:v>200</c:v>
                </c:pt>
                <c:pt idx="16">
                  <c:v>220</c:v>
                </c:pt>
                <c:pt idx="17">
                  <c:v>240</c:v>
                </c:pt>
                <c:pt idx="18">
                  <c:v>260</c:v>
                </c:pt>
                <c:pt idx="19">
                  <c:v>280</c:v>
                </c:pt>
                <c:pt idx="20">
                  <c:v>300</c:v>
                </c:pt>
                <c:pt idx="21">
                  <c:v>320</c:v>
                </c:pt>
                <c:pt idx="22">
                  <c:v>340</c:v>
                </c:pt>
                <c:pt idx="23">
                  <c:v>360</c:v>
                </c:pt>
                <c:pt idx="24">
                  <c:v>380</c:v>
                </c:pt>
                <c:pt idx="25">
                  <c:v>400</c:v>
                </c:pt>
                <c:pt idx="26">
                  <c:v>450</c:v>
                </c:pt>
                <c:pt idx="27">
                  <c:v>500</c:v>
                </c:pt>
                <c:pt idx="28">
                  <c:v>550</c:v>
                </c:pt>
                <c:pt idx="29">
                  <c:v>600</c:v>
                </c:pt>
                <c:pt idx="30">
                  <c:v>650</c:v>
                </c:pt>
                <c:pt idx="31">
                  <c:v>700</c:v>
                </c:pt>
                <c:pt idx="32">
                  <c:v>750</c:v>
                </c:pt>
                <c:pt idx="33">
                  <c:v>800</c:v>
                </c:pt>
                <c:pt idx="34">
                  <c:v>850</c:v>
                </c:pt>
                <c:pt idx="35">
                  <c:v>900</c:v>
                </c:pt>
                <c:pt idx="36">
                  <c:v>950</c:v>
                </c:pt>
                <c:pt idx="37">
                  <c:v>1000</c:v>
                </c:pt>
                <c:pt idx="38">
                  <c:v>1050</c:v>
                </c:pt>
                <c:pt idx="39">
                  <c:v>1100</c:v>
                </c:pt>
                <c:pt idx="40">
                  <c:v>1150</c:v>
                </c:pt>
                <c:pt idx="41">
                  <c:v>1200</c:v>
                </c:pt>
                <c:pt idx="42">
                  <c:v>1250</c:v>
                </c:pt>
                <c:pt idx="43">
                  <c:v>1300</c:v>
                </c:pt>
                <c:pt idx="44">
                  <c:v>1350</c:v>
                </c:pt>
                <c:pt idx="45">
                  <c:v>1400</c:v>
                </c:pt>
                <c:pt idx="46">
                  <c:v>1450</c:v>
                </c:pt>
                <c:pt idx="47">
                  <c:v>1500</c:v>
                </c:pt>
                <c:pt idx="48">
                  <c:v>1550</c:v>
                </c:pt>
                <c:pt idx="49">
                  <c:v>1600</c:v>
                </c:pt>
                <c:pt idx="50">
                  <c:v>1650</c:v>
                </c:pt>
                <c:pt idx="51">
                  <c:v>1700</c:v>
                </c:pt>
                <c:pt idx="52">
                  <c:v>1750</c:v>
                </c:pt>
                <c:pt idx="53">
                  <c:v>1800</c:v>
                </c:pt>
                <c:pt idx="54">
                  <c:v>1850</c:v>
                </c:pt>
                <c:pt idx="55">
                  <c:v>1900</c:v>
                </c:pt>
                <c:pt idx="56">
                  <c:v>1950</c:v>
                </c:pt>
                <c:pt idx="57">
                  <c:v>2000</c:v>
                </c:pt>
                <c:pt idx="58">
                  <c:v>2050</c:v>
                </c:pt>
                <c:pt idx="59">
                  <c:v>2100</c:v>
                </c:pt>
                <c:pt idx="60">
                  <c:v>2150</c:v>
                </c:pt>
                <c:pt idx="61">
                  <c:v>2200</c:v>
                </c:pt>
                <c:pt idx="62">
                  <c:v>2270</c:v>
                </c:pt>
                <c:pt idx="63">
                  <c:v>2350</c:v>
                </c:pt>
                <c:pt idx="64">
                  <c:v>2420</c:v>
                </c:pt>
                <c:pt idx="65">
                  <c:v>2500</c:v>
                </c:pt>
              </c:numCache>
            </c:numRef>
          </c:xVal>
          <c:yVal>
            <c:numRef>
              <c:f>ChartData!$D$3:$D$68</c:f>
              <c:numCache>
                <c:formatCode>General</c:formatCode>
                <c:ptCount val="66"/>
                <c:pt idx="0">
                  <c:v>100</c:v>
                </c:pt>
                <c:pt idx="1">
                  <c:v>99.839210668240241</c:v>
                </c:pt>
                <c:pt idx="2">
                  <c:v>99.678422167862351</c:v>
                </c:pt>
                <c:pt idx="3">
                  <c:v>99.517635330231059</c:v>
                </c:pt>
                <c:pt idx="4">
                  <c:v>99.35685098667669</c:v>
                </c:pt>
                <c:pt idx="5">
                  <c:v>99.196069968477971</c:v>
                </c:pt>
                <c:pt idx="6">
                  <c:v>99.035293106844833</c:v>
                </c:pt>
                <c:pt idx="7">
                  <c:v>98.874521232901316</c:v>
                </c:pt>
                <c:pt idx="8">
                  <c:v>98.713755177668261</c:v>
                </c:pt>
                <c:pt idx="9">
                  <c:v>98.552995772046174</c:v>
                </c:pt>
                <c:pt idx="10">
                  <c:v>98.392243846798124</c:v>
                </c:pt>
                <c:pt idx="11">
                  <c:v>98.070765759685742</c:v>
                </c:pt>
                <c:pt idx="12">
                  <c:v>97.749327559033304</c:v>
                </c:pt>
                <c:pt idx="13">
                  <c:v>97.427935884245073</c:v>
                </c:pt>
                <c:pt idx="14">
                  <c:v>97.106597370879186</c:v>
                </c:pt>
                <c:pt idx="15">
                  <c:v>96.785318650100209</c:v>
                </c:pt>
                <c:pt idx="16">
                  <c:v>96.464106348132347</c:v>
                </c:pt>
                <c:pt idx="17">
                  <c:v>96.14296708571365</c:v>
                </c:pt>
                <c:pt idx="18">
                  <c:v>95.821907477550937</c:v>
                </c:pt>
                <c:pt idx="19">
                  <c:v>95.500934131776162</c:v>
                </c:pt>
                <c:pt idx="20">
                  <c:v>95.18005364940349</c:v>
                </c:pt>
                <c:pt idx="21">
                  <c:v>94.859272623788087</c:v>
                </c:pt>
                <c:pt idx="22">
                  <c:v>94.538597640085726</c:v>
                </c:pt>
                <c:pt idx="23">
                  <c:v>94.218035274714396</c:v>
                </c:pt>
                <c:pt idx="24">
                  <c:v>93.897592094816915</c:v>
                </c:pt>
                <c:pt idx="25">
                  <c:v>93.577274657725596</c:v>
                </c:pt>
                <c:pt idx="26">
                  <c:v>92.777074127485051</c:v>
                </c:pt>
                <c:pt idx="27">
                  <c:v>91.977802367141976</c:v>
                </c:pt>
                <c:pt idx="28">
                  <c:v>91.179560888710881</c:v>
                </c:pt>
                <c:pt idx="29">
                  <c:v>90.38245067669898</c:v>
                </c:pt>
                <c:pt idx="30">
                  <c:v>89.586572137580802</c:v>
                </c:pt>
                <c:pt idx="31">
                  <c:v>88.7920250498982</c:v>
                </c:pt>
                <c:pt idx="32">
                  <c:v>87.998908515036703</c:v>
                </c:pt>
                <c:pt idx="33">
                  <c:v>87.207320908729642</c:v>
                </c:pt>
                <c:pt idx="34">
                  <c:v>86.417359833338736</c:v>
                </c:pt>
                <c:pt idx="35">
                  <c:v>85.629122070959383</c:v>
                </c:pt>
                <c:pt idx="36">
                  <c:v>84.842703537397128</c:v>
                </c:pt>
                <c:pt idx="37">
                  <c:v>84.05819923705964</c:v>
                </c:pt>
                <c:pt idx="38">
                  <c:v>83.275703218807934</c:v>
                </c:pt>
                <c:pt idx="39">
                  <c:v>82.495308532808025</c:v>
                </c:pt>
                <c:pt idx="40">
                  <c:v>81.717107188422702</c:v>
                </c:pt>
                <c:pt idx="41">
                  <c:v>80.941190113181278</c:v>
                </c:pt>
                <c:pt idx="42">
                  <c:v>80.167647112863463</c:v>
                </c:pt>
                <c:pt idx="43">
                  <c:v>79.396566832731253</c:v>
                </c:pt>
                <c:pt idx="44">
                  <c:v>78.628036719940894</c:v>
                </c:pt>
                <c:pt idx="45">
                  <c:v>77.862142987165043</c:v>
                </c:pt>
                <c:pt idx="46">
                  <c:v>77.098970577453287</c:v>
                </c:pt>
                <c:pt idx="47">
                  <c:v>76.338603130356503</c:v>
                </c:pt>
                <c:pt idx="48">
                  <c:v>75.581122949339502</c:v>
                </c:pt>
                <c:pt idx="49">
                  <c:v>74.826610970503367</c:v>
                </c:pt>
                <c:pt idx="50">
                  <c:v>74.075146732636867</c:v>
                </c:pt>
                <c:pt idx="51">
                  <c:v>73.32680834861516</c:v>
                </c:pt>
                <c:pt idx="52">
                  <c:v>72.581672478160243</c:v>
                </c:pt>
                <c:pt idx="53">
                  <c:v>71.839814301977043</c:v>
                </c:pt>
                <c:pt idx="54">
                  <c:v>71.101307497275897</c:v>
                </c:pt>
                <c:pt idx="55">
                  <c:v>70.366224214690504</c:v>
                </c:pt>
                <c:pt idx="56">
                  <c:v>69.634635056598341</c:v>
                </c:pt>
                <c:pt idx="57">
                  <c:v>68.906609056847998</c:v>
                </c:pt>
                <c:pt idx="58">
                  <c:v>68.182213661896768</c:v>
                </c:pt>
                <c:pt idx="59">
                  <c:v>67.461514713358511</c:v>
                </c:pt>
                <c:pt idx="60">
                  <c:v>66.74457643196142</c:v>
                </c:pt>
                <c:pt idx="61">
                  <c:v>66.031461402911546</c:v>
                </c:pt>
                <c:pt idx="62">
                  <c:v>65.039639133253417</c:v>
                </c:pt>
                <c:pt idx="63">
                  <c:v>63.915656880889976</c:v>
                </c:pt>
                <c:pt idx="64">
                  <c:v>62.940684008277302</c:v>
                </c:pt>
                <c:pt idx="65">
                  <c:v>61.836355180081789</c:v>
                </c:pt>
              </c:numCache>
            </c:numRef>
          </c:yVal>
          <c:smooth val="1"/>
          <c:extLst>
            <c:ext xmlns:c16="http://schemas.microsoft.com/office/drawing/2014/chart" uri="{C3380CC4-5D6E-409C-BE32-E72D297353CC}">
              <c16:uniqueId val="{00000000-8053-48A4-8D6F-DF1409BC221C}"/>
            </c:ext>
          </c:extLst>
        </c:ser>
        <c:ser>
          <c:idx val="1"/>
          <c:order val="1"/>
          <c:tx>
            <c:v>yield CWFP</c:v>
          </c:tx>
          <c:spPr>
            <a:ln w="34925" cap="rnd">
              <a:solidFill>
                <a:schemeClr val="accent2"/>
              </a:solidFill>
              <a:round/>
            </a:ln>
            <a:effectLst>
              <a:outerShdw blurRad="40000" dist="23000" dir="5400000" rotWithShape="0">
                <a:srgbClr val="000000">
                  <a:alpha val="35000"/>
                </a:srgbClr>
              </a:outerShdw>
            </a:effectLst>
          </c:spPr>
          <c:marker>
            <c:symbol val="none"/>
          </c:marker>
          <c:xVal>
            <c:numRef>
              <c:f>ChartData!$B$3:$B$68</c:f>
              <c:numCache>
                <c:formatCode>General</c:formatCode>
                <c:ptCount val="66"/>
                <c:pt idx="0">
                  <c:v>0</c:v>
                </c:pt>
                <c:pt idx="1">
                  <c:v>10</c:v>
                </c:pt>
                <c:pt idx="2">
                  <c:v>20</c:v>
                </c:pt>
                <c:pt idx="3">
                  <c:v>30</c:v>
                </c:pt>
                <c:pt idx="4">
                  <c:v>40</c:v>
                </c:pt>
                <c:pt idx="5">
                  <c:v>50</c:v>
                </c:pt>
                <c:pt idx="6">
                  <c:v>60</c:v>
                </c:pt>
                <c:pt idx="7">
                  <c:v>70</c:v>
                </c:pt>
                <c:pt idx="8">
                  <c:v>80</c:v>
                </c:pt>
                <c:pt idx="9">
                  <c:v>90</c:v>
                </c:pt>
                <c:pt idx="10">
                  <c:v>100</c:v>
                </c:pt>
                <c:pt idx="11">
                  <c:v>120</c:v>
                </c:pt>
                <c:pt idx="12">
                  <c:v>140</c:v>
                </c:pt>
                <c:pt idx="13">
                  <c:v>160</c:v>
                </c:pt>
                <c:pt idx="14">
                  <c:v>180</c:v>
                </c:pt>
                <c:pt idx="15">
                  <c:v>200</c:v>
                </c:pt>
                <c:pt idx="16">
                  <c:v>220</c:v>
                </c:pt>
                <c:pt idx="17">
                  <c:v>240</c:v>
                </c:pt>
                <c:pt idx="18">
                  <c:v>260</c:v>
                </c:pt>
                <c:pt idx="19">
                  <c:v>280</c:v>
                </c:pt>
                <c:pt idx="20">
                  <c:v>300</c:v>
                </c:pt>
                <c:pt idx="21">
                  <c:v>320</c:v>
                </c:pt>
                <c:pt idx="22">
                  <c:v>340</c:v>
                </c:pt>
                <c:pt idx="23">
                  <c:v>360</c:v>
                </c:pt>
                <c:pt idx="24">
                  <c:v>380</c:v>
                </c:pt>
                <c:pt idx="25">
                  <c:v>400</c:v>
                </c:pt>
                <c:pt idx="26">
                  <c:v>450</c:v>
                </c:pt>
                <c:pt idx="27">
                  <c:v>500</c:v>
                </c:pt>
                <c:pt idx="28">
                  <c:v>550</c:v>
                </c:pt>
                <c:pt idx="29">
                  <c:v>600</c:v>
                </c:pt>
                <c:pt idx="30">
                  <c:v>650</c:v>
                </c:pt>
                <c:pt idx="31">
                  <c:v>700</c:v>
                </c:pt>
                <c:pt idx="32">
                  <c:v>750</c:v>
                </c:pt>
                <c:pt idx="33">
                  <c:v>800</c:v>
                </c:pt>
                <c:pt idx="34">
                  <c:v>850</c:v>
                </c:pt>
                <c:pt idx="35">
                  <c:v>900</c:v>
                </c:pt>
                <c:pt idx="36">
                  <c:v>950</c:v>
                </c:pt>
                <c:pt idx="37">
                  <c:v>1000</c:v>
                </c:pt>
                <c:pt idx="38">
                  <c:v>1050</c:v>
                </c:pt>
                <c:pt idx="39">
                  <c:v>1100</c:v>
                </c:pt>
                <c:pt idx="40">
                  <c:v>1150</c:v>
                </c:pt>
                <c:pt idx="41">
                  <c:v>1200</c:v>
                </c:pt>
                <c:pt idx="42">
                  <c:v>1250</c:v>
                </c:pt>
                <c:pt idx="43">
                  <c:v>1300</c:v>
                </c:pt>
                <c:pt idx="44">
                  <c:v>1350</c:v>
                </c:pt>
                <c:pt idx="45">
                  <c:v>1400</c:v>
                </c:pt>
                <c:pt idx="46">
                  <c:v>1450</c:v>
                </c:pt>
                <c:pt idx="47">
                  <c:v>1500</c:v>
                </c:pt>
                <c:pt idx="48">
                  <c:v>1550</c:v>
                </c:pt>
                <c:pt idx="49">
                  <c:v>1600</c:v>
                </c:pt>
                <c:pt idx="50">
                  <c:v>1650</c:v>
                </c:pt>
                <c:pt idx="51">
                  <c:v>1700</c:v>
                </c:pt>
                <c:pt idx="52">
                  <c:v>1750</c:v>
                </c:pt>
                <c:pt idx="53">
                  <c:v>1800</c:v>
                </c:pt>
                <c:pt idx="54">
                  <c:v>1850</c:v>
                </c:pt>
                <c:pt idx="55">
                  <c:v>1900</c:v>
                </c:pt>
                <c:pt idx="56">
                  <c:v>1950</c:v>
                </c:pt>
                <c:pt idx="57">
                  <c:v>2000</c:v>
                </c:pt>
                <c:pt idx="58">
                  <c:v>2050</c:v>
                </c:pt>
                <c:pt idx="59">
                  <c:v>2100</c:v>
                </c:pt>
                <c:pt idx="60">
                  <c:v>2150</c:v>
                </c:pt>
                <c:pt idx="61">
                  <c:v>2200</c:v>
                </c:pt>
                <c:pt idx="62">
                  <c:v>2270</c:v>
                </c:pt>
                <c:pt idx="63">
                  <c:v>2350</c:v>
                </c:pt>
                <c:pt idx="64">
                  <c:v>2420</c:v>
                </c:pt>
                <c:pt idx="65">
                  <c:v>2500</c:v>
                </c:pt>
              </c:numCache>
            </c:numRef>
          </c:xVal>
          <c:yVal>
            <c:numRef>
              <c:f>ChartData!$E$3:$E$68</c:f>
              <c:numCache>
                <c:formatCode>General</c:formatCode>
                <c:ptCount val="66"/>
                <c:pt idx="0">
                  <c:v>34.510092257070987</c:v>
                </c:pt>
                <c:pt idx="1">
                  <c:v>36.750763532161649</c:v>
                </c:pt>
                <c:pt idx="2">
                  <c:v>38.991615159450419</c:v>
                </c:pt>
                <c:pt idx="3">
                  <c:v>41.224577352062205</c:v>
                </c:pt>
                <c:pt idx="4">
                  <c:v>43.442138139728975</c:v>
                </c:pt>
                <c:pt idx="5">
                  <c:v>45.637381674696563</c:v>
                </c:pt>
                <c:pt idx="6">
                  <c:v>47.804012204213272</c:v>
                </c:pt>
                <c:pt idx="7">
                  <c:v>49.936365270391931</c:v>
                </c:pt>
                <c:pt idx="8">
                  <c:v>52.029407771368042</c:v>
                </c:pt>
                <c:pt idx="9">
                  <c:v>54.078728524838247</c:v>
                </c:pt>
                <c:pt idx="10">
                  <c:v>56.080520930209431</c:v>
                </c:pt>
                <c:pt idx="11">
                  <c:v>59.929169852160193</c:v>
                </c:pt>
                <c:pt idx="12">
                  <c:v>63.55597705346819</c:v>
                </c:pt>
                <c:pt idx="13">
                  <c:v>66.949307126970254</c:v>
                </c:pt>
                <c:pt idx="14">
                  <c:v>70.104095634319577</c:v>
                </c:pt>
                <c:pt idx="15">
                  <c:v>73.020669990825581</c:v>
                </c:pt>
                <c:pt idx="16">
                  <c:v>75.703631544978705</c:v>
                </c:pt>
                <c:pt idx="17">
                  <c:v>78.160841686012773</c:v>
                </c:pt>
                <c:pt idx="18">
                  <c:v>80.402534277809281</c:v>
                </c:pt>
                <c:pt idx="19">
                  <c:v>82.440561700836426</c:v>
                </c:pt>
                <c:pt idx="20">
                  <c:v>84.287771514066762</c:v>
                </c:pt>
                <c:pt idx="21">
                  <c:v>85.957504290303561</c:v>
                </c:pt>
                <c:pt idx="22">
                  <c:v>87.463199609277893</c:v>
                </c:pt>
                <c:pt idx="23">
                  <c:v>88.818095699231108</c:v>
                </c:pt>
                <c:pt idx="24">
                  <c:v>90.035008131044819</c:v>
                </c:pt>
                <c:pt idx="25">
                  <c:v>91.126173770338681</c:v>
                </c:pt>
                <c:pt idx="26">
                  <c:v>93.377937315246669</c:v>
                </c:pt>
                <c:pt idx="27">
                  <c:v>95.073757200848874</c:v>
                </c:pt>
                <c:pt idx="28">
                  <c:v>96.343804531754017</c:v>
                </c:pt>
                <c:pt idx="29">
                  <c:v>97.291083166572577</c:v>
                </c:pt>
                <c:pt idx="30">
                  <c:v>97.995486156985805</c:v>
                </c:pt>
                <c:pt idx="31">
                  <c:v>98.518117430505754</c:v>
                </c:pt>
                <c:pt idx="32">
                  <c:v>98.905245700577765</c:v>
                </c:pt>
                <c:pt idx="33">
                  <c:v>99.191655172051568</c:v>
                </c:pt>
                <c:pt idx="34">
                  <c:v>99.403360250492824</c:v>
                </c:pt>
                <c:pt idx="35">
                  <c:v>99.559742930955125</c:v>
                </c:pt>
                <c:pt idx="36">
                  <c:v>99.67520378493407</c:v>
                </c:pt>
                <c:pt idx="37">
                  <c:v>99.760420562241904</c:v>
                </c:pt>
                <c:pt idx="38">
                  <c:v>99.823298833441626</c:v>
                </c:pt>
                <c:pt idx="39">
                  <c:v>99.86968531089812</c:v>
                </c:pt>
                <c:pt idx="40">
                  <c:v>99.903900563859168</c:v>
                </c:pt>
                <c:pt idx="41">
                  <c:v>99.929135492339569</c:v>
                </c:pt>
                <c:pt idx="42">
                  <c:v>99.947745667312248</c:v>
                </c:pt>
                <c:pt idx="43">
                  <c:v>99.961469449175084</c:v>
                </c:pt>
                <c:pt idx="44">
                  <c:v>99.971589407003876</c:v>
                </c:pt>
                <c:pt idx="45">
                  <c:v>99.979051660409866</c:v>
                </c:pt>
                <c:pt idx="46">
                  <c:v>99.984554048911932</c:v>
                </c:pt>
                <c:pt idx="47">
                  <c:v>99.988611236724552</c:v>
                </c:pt>
                <c:pt idx="48">
                  <c:v>99.991602767808018</c:v>
                </c:pt>
                <c:pt idx="49">
                  <c:v>99.993808526026612</c:v>
                </c:pt>
                <c:pt idx="50">
                  <c:v>99.995434895924902</c:v>
                </c:pt>
                <c:pt idx="51">
                  <c:v>99.996634059872108</c:v>
                </c:pt>
                <c:pt idx="52">
                  <c:v>99.997518230709872</c:v>
                </c:pt>
                <c:pt idx="53">
                  <c:v>99.998170148183647</c:v>
                </c:pt>
                <c:pt idx="54">
                  <c:v>99.998650819471408</c:v>
                </c:pt>
                <c:pt idx="55">
                  <c:v>99.999005227126432</c:v>
                </c:pt>
                <c:pt idx="56">
                  <c:v>99.999266538029303</c:v>
                </c:pt>
                <c:pt idx="57">
                  <c:v>99.999459206928407</c:v>
                </c:pt>
                <c:pt idx="58">
                  <c:v>99.99960126484541</c:v>
                </c:pt>
                <c:pt idx="59">
                  <c:v>99.999706006415039</c:v>
                </c:pt>
                <c:pt idx="60">
                  <c:v>99.999783234021095</c:v>
                </c:pt>
                <c:pt idx="61">
                  <c:v>99.999840175135617</c:v>
                </c:pt>
                <c:pt idx="62">
                  <c:v>99.999895682107507</c:v>
                </c:pt>
                <c:pt idx="63">
                  <c:v>99.999935937504631</c:v>
                </c:pt>
                <c:pt idx="64">
                  <c:v>99.999958186334652</c:v>
                </c:pt>
                <c:pt idx="65">
                  <c:v>99.999974321879449</c:v>
                </c:pt>
              </c:numCache>
            </c:numRef>
          </c:yVal>
          <c:smooth val="1"/>
          <c:extLst>
            <c:ext xmlns:c16="http://schemas.microsoft.com/office/drawing/2014/chart" uri="{C3380CC4-5D6E-409C-BE32-E72D297353CC}">
              <c16:uniqueId val="{00000001-8053-48A4-8D6F-DF1409BC221C}"/>
            </c:ext>
          </c:extLst>
        </c:ser>
        <c:dLbls>
          <c:showLegendKey val="0"/>
          <c:showVal val="0"/>
          <c:showCatName val="0"/>
          <c:showSerName val="0"/>
          <c:showPercent val="0"/>
          <c:showBubbleSize val="0"/>
        </c:dLbls>
        <c:axId val="643309696"/>
        <c:axId val="735768400"/>
      </c:scatterChart>
      <c:scatterChart>
        <c:scatterStyle val="smoothMarker"/>
        <c:varyColors val="0"/>
        <c:ser>
          <c:idx val="3"/>
          <c:order val="2"/>
          <c:tx>
            <c:v>CPWC start</c:v>
          </c:tx>
          <c:spPr>
            <a:ln w="19050" cap="rnd">
              <a:solidFill>
                <a:schemeClr val="accent4"/>
              </a:solidFill>
              <a:round/>
            </a:ln>
            <a:effectLst>
              <a:outerShdw blurRad="40000" dist="23000" dir="5400000" rotWithShape="0">
                <a:srgbClr val="000000">
                  <a:alpha val="35000"/>
                </a:srgbClr>
              </a:outerShdw>
            </a:effectLst>
          </c:spPr>
          <c:marker>
            <c:symbol val="none"/>
          </c:marker>
          <c:dLbls>
            <c:dLbl>
              <c:idx val="0"/>
              <c:layout>
                <c:manualLayout>
                  <c:x val="-2.3504001984036909E-17"/>
                  <c:y val="-3.5398230088495644E-2"/>
                </c:manualLayout>
              </c:layou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8053-48A4-8D6F-DF1409BC221C}"/>
                </c:ext>
              </c:extLst>
            </c:dLbl>
            <c:dLbl>
              <c:idx val="1"/>
              <c:layout>
                <c:manualLayout>
                  <c:x val="-2.3504001984036909E-17"/>
                  <c:y val="3.9331366764995081E-2"/>
                </c:manualLayout>
              </c:layou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8053-48A4-8D6F-DF1409BC221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1"/>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xVal>
            <c:numRef>
              <c:f>Equations!$L$22:$L$23</c:f>
              <c:numCache>
                <c:formatCode>0</c:formatCode>
                <c:ptCount val="2"/>
                <c:pt idx="0">
                  <c:v>22.992715459168558</c:v>
                </c:pt>
                <c:pt idx="1">
                  <c:v>22.992715459168558</c:v>
                </c:pt>
              </c:numCache>
            </c:numRef>
          </c:xVal>
          <c:yVal>
            <c:numRef>
              <c:f>Equations!$M$22:$M$23</c:f>
              <c:numCache>
                <c:formatCode>General</c:formatCode>
                <c:ptCount val="2"/>
                <c:pt idx="0">
                  <c:v>0</c:v>
                </c:pt>
                <c:pt idx="1">
                  <c:v>1</c:v>
                </c:pt>
              </c:numCache>
            </c:numRef>
          </c:yVal>
          <c:smooth val="1"/>
          <c:extLst>
            <c:ext xmlns:c16="http://schemas.microsoft.com/office/drawing/2014/chart" uri="{C3380CC4-5D6E-409C-BE32-E72D297353CC}">
              <c16:uniqueId val="{00000004-8053-48A4-8D6F-DF1409BC221C}"/>
            </c:ext>
          </c:extLst>
        </c:ser>
        <c:ser>
          <c:idx val="4"/>
          <c:order val="3"/>
          <c:tx>
            <c:v>CPWC end</c:v>
          </c:tx>
          <c:spPr>
            <a:ln w="19050" cap="rnd">
              <a:solidFill>
                <a:schemeClr val="accent5"/>
              </a:solidFill>
              <a:round/>
            </a:ln>
            <a:effectLst>
              <a:outerShdw blurRad="40000" dist="23000" dir="5400000" rotWithShape="0">
                <a:srgbClr val="000000">
                  <a:alpha val="35000"/>
                </a:srgbClr>
              </a:outerShdw>
            </a:effectLst>
          </c:spPr>
          <c:marker>
            <c:symbol val="none"/>
          </c:marker>
          <c:dLbls>
            <c:dLbl>
              <c:idx val="0"/>
              <c:layout>
                <c:manualLayout>
                  <c:x val="0"/>
                  <c:y val="-3.1465093411996138E-2"/>
                </c:manualLayout>
              </c:layout>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8053-48A4-8D6F-DF1409BC221C}"/>
                </c:ext>
              </c:extLst>
            </c:dLbl>
            <c:dLbl>
              <c:idx val="1"/>
              <c:layout>
                <c:manualLayout>
                  <c:x val="0"/>
                  <c:y val="3.1465093411996069E-2"/>
                </c:manualLayout>
              </c:layout>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8053-48A4-8D6F-DF1409BC221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r"/>
            <c:showLegendKey val="0"/>
            <c:showVal val="0"/>
            <c:showCatName val="1"/>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xVal>
            <c:numRef>
              <c:f>Equations!$L$24:$L$25</c:f>
              <c:numCache>
                <c:formatCode>0</c:formatCode>
                <c:ptCount val="2"/>
                <c:pt idx="0">
                  <c:v>928.71778079319336</c:v>
                </c:pt>
                <c:pt idx="1">
                  <c:v>928.71778079319336</c:v>
                </c:pt>
              </c:numCache>
            </c:numRef>
          </c:xVal>
          <c:yVal>
            <c:numRef>
              <c:f>Equations!$M$24:$M$25</c:f>
              <c:numCache>
                <c:formatCode>General</c:formatCode>
                <c:ptCount val="2"/>
                <c:pt idx="0">
                  <c:v>0</c:v>
                </c:pt>
                <c:pt idx="1">
                  <c:v>1</c:v>
                </c:pt>
              </c:numCache>
            </c:numRef>
          </c:yVal>
          <c:smooth val="1"/>
          <c:extLst>
            <c:ext xmlns:c16="http://schemas.microsoft.com/office/drawing/2014/chart" uri="{C3380CC4-5D6E-409C-BE32-E72D297353CC}">
              <c16:uniqueId val="{00000005-8053-48A4-8D6F-DF1409BC221C}"/>
            </c:ext>
          </c:extLst>
        </c:ser>
        <c:ser>
          <c:idx val="5"/>
          <c:order val="4"/>
          <c:tx>
            <c:v>current GDD</c:v>
          </c:tx>
          <c:spPr>
            <a:ln w="22225" cap="rnd">
              <a:solidFill>
                <a:schemeClr val="accent6"/>
              </a:solidFill>
              <a:prstDash val="sysDash"/>
              <a:round/>
            </a:ln>
            <a:effectLst>
              <a:outerShdw blurRad="40000" dist="23000" dir="5400000" rotWithShape="0">
                <a:srgbClr val="000000">
                  <a:alpha val="35000"/>
                </a:srgbClr>
              </a:outerShdw>
            </a:effectLst>
          </c:spPr>
          <c:marker>
            <c:symbol val="none"/>
          </c:marker>
          <c:xVal>
            <c:numRef>
              <c:f>Equations!$L$26:$L$27</c:f>
              <c:numCache>
                <c:formatCode>General</c:formatCode>
                <c:ptCount val="2"/>
                <c:pt idx="0">
                  <c:v>100</c:v>
                </c:pt>
                <c:pt idx="1">
                  <c:v>100</c:v>
                </c:pt>
              </c:numCache>
            </c:numRef>
          </c:xVal>
          <c:yVal>
            <c:numRef>
              <c:f>Equations!$M$26:$M$27</c:f>
              <c:numCache>
                <c:formatCode>General</c:formatCode>
                <c:ptCount val="2"/>
                <c:pt idx="0">
                  <c:v>0</c:v>
                </c:pt>
                <c:pt idx="1">
                  <c:v>1</c:v>
                </c:pt>
              </c:numCache>
            </c:numRef>
          </c:yVal>
          <c:smooth val="1"/>
          <c:extLst>
            <c:ext xmlns:c16="http://schemas.microsoft.com/office/drawing/2014/chart" uri="{C3380CC4-5D6E-409C-BE32-E72D297353CC}">
              <c16:uniqueId val="{00000000-67B6-49E9-888D-4C39B5890BD4}"/>
            </c:ext>
          </c:extLst>
        </c:ser>
        <c:ser>
          <c:idx val="2"/>
          <c:order val="5"/>
          <c:tx>
            <c:v>Calculated threshold</c:v>
          </c:tx>
          <c:spPr>
            <a:ln w="19050" cap="rnd">
              <a:solidFill>
                <a:schemeClr val="accent3"/>
              </a:solidFill>
              <a:prstDash val="lgDash"/>
              <a:round/>
              <a:extLst>
                <a:ext uri="{C807C97D-BFC1-408E-A445-0C87EB9F89A2}">
                  <ask:lineSketchStyleProps xmlns:ask="http://schemas.microsoft.com/office/drawing/2018/sketchyshapes">
                    <ask:type>
                      <ask:lineSketchNone/>
                    </ask:type>
                  </ask:lineSketchStyleProps>
                </a:ext>
              </a:extLst>
            </a:ln>
            <a:effectLst>
              <a:outerShdw blurRad="40000" dist="23000" dir="5400000" rotWithShape="0">
                <a:srgbClr val="000000">
                  <a:alpha val="35000"/>
                </a:srgbClr>
              </a:outerShdw>
            </a:effectLst>
          </c:spPr>
          <c:marker>
            <c:symbol val="none"/>
          </c:marker>
          <c:xVal>
            <c:numRef>
              <c:f>ChartData!$B$3:$B$68</c:f>
              <c:numCache>
                <c:formatCode>General</c:formatCode>
                <c:ptCount val="66"/>
                <c:pt idx="0">
                  <c:v>0</c:v>
                </c:pt>
                <c:pt idx="1">
                  <c:v>10</c:v>
                </c:pt>
                <c:pt idx="2">
                  <c:v>20</c:v>
                </c:pt>
                <c:pt idx="3">
                  <c:v>30</c:v>
                </c:pt>
                <c:pt idx="4">
                  <c:v>40</c:v>
                </c:pt>
                <c:pt idx="5">
                  <c:v>50</c:v>
                </c:pt>
                <c:pt idx="6">
                  <c:v>60</c:v>
                </c:pt>
                <c:pt idx="7">
                  <c:v>70</c:v>
                </c:pt>
                <c:pt idx="8">
                  <c:v>80</c:v>
                </c:pt>
                <c:pt idx="9">
                  <c:v>90</c:v>
                </c:pt>
                <c:pt idx="10">
                  <c:v>100</c:v>
                </c:pt>
                <c:pt idx="11">
                  <c:v>120</c:v>
                </c:pt>
                <c:pt idx="12">
                  <c:v>140</c:v>
                </c:pt>
                <c:pt idx="13">
                  <c:v>160</c:v>
                </c:pt>
                <c:pt idx="14">
                  <c:v>180</c:v>
                </c:pt>
                <c:pt idx="15">
                  <c:v>200</c:v>
                </c:pt>
                <c:pt idx="16">
                  <c:v>220</c:v>
                </c:pt>
                <c:pt idx="17">
                  <c:v>240</c:v>
                </c:pt>
                <c:pt idx="18">
                  <c:v>260</c:v>
                </c:pt>
                <c:pt idx="19">
                  <c:v>280</c:v>
                </c:pt>
                <c:pt idx="20">
                  <c:v>300</c:v>
                </c:pt>
                <c:pt idx="21">
                  <c:v>320</c:v>
                </c:pt>
                <c:pt idx="22">
                  <c:v>340</c:v>
                </c:pt>
                <c:pt idx="23">
                  <c:v>360</c:v>
                </c:pt>
                <c:pt idx="24">
                  <c:v>380</c:v>
                </c:pt>
                <c:pt idx="25">
                  <c:v>400</c:v>
                </c:pt>
                <c:pt idx="26">
                  <c:v>450</c:v>
                </c:pt>
                <c:pt idx="27">
                  <c:v>500</c:v>
                </c:pt>
                <c:pt idx="28">
                  <c:v>550</c:v>
                </c:pt>
                <c:pt idx="29">
                  <c:v>600</c:v>
                </c:pt>
                <c:pt idx="30">
                  <c:v>650</c:v>
                </c:pt>
                <c:pt idx="31">
                  <c:v>700</c:v>
                </c:pt>
                <c:pt idx="32">
                  <c:v>750</c:v>
                </c:pt>
                <c:pt idx="33">
                  <c:v>800</c:v>
                </c:pt>
                <c:pt idx="34">
                  <c:v>850</c:v>
                </c:pt>
                <c:pt idx="35">
                  <c:v>900</c:v>
                </c:pt>
                <c:pt idx="36">
                  <c:v>950</c:v>
                </c:pt>
                <c:pt idx="37">
                  <c:v>1000</c:v>
                </c:pt>
                <c:pt idx="38">
                  <c:v>1050</c:v>
                </c:pt>
                <c:pt idx="39">
                  <c:v>1100</c:v>
                </c:pt>
                <c:pt idx="40">
                  <c:v>1150</c:v>
                </c:pt>
                <c:pt idx="41">
                  <c:v>1200</c:v>
                </c:pt>
                <c:pt idx="42">
                  <c:v>1250</c:v>
                </c:pt>
                <c:pt idx="43">
                  <c:v>1300</c:v>
                </c:pt>
                <c:pt idx="44">
                  <c:v>1350</c:v>
                </c:pt>
                <c:pt idx="45">
                  <c:v>1400</c:v>
                </c:pt>
                <c:pt idx="46">
                  <c:v>1450</c:v>
                </c:pt>
                <c:pt idx="47">
                  <c:v>1500</c:v>
                </c:pt>
                <c:pt idx="48">
                  <c:v>1550</c:v>
                </c:pt>
                <c:pt idx="49">
                  <c:v>1600</c:v>
                </c:pt>
                <c:pt idx="50">
                  <c:v>1650</c:v>
                </c:pt>
                <c:pt idx="51">
                  <c:v>1700</c:v>
                </c:pt>
                <c:pt idx="52">
                  <c:v>1750</c:v>
                </c:pt>
                <c:pt idx="53">
                  <c:v>1800</c:v>
                </c:pt>
                <c:pt idx="54">
                  <c:v>1850</c:v>
                </c:pt>
                <c:pt idx="55">
                  <c:v>1900</c:v>
                </c:pt>
                <c:pt idx="56">
                  <c:v>1950</c:v>
                </c:pt>
                <c:pt idx="57">
                  <c:v>2000</c:v>
                </c:pt>
                <c:pt idx="58">
                  <c:v>2050</c:v>
                </c:pt>
                <c:pt idx="59">
                  <c:v>2100</c:v>
                </c:pt>
                <c:pt idx="60">
                  <c:v>2150</c:v>
                </c:pt>
                <c:pt idx="61">
                  <c:v>2200</c:v>
                </c:pt>
                <c:pt idx="62">
                  <c:v>2270</c:v>
                </c:pt>
                <c:pt idx="63">
                  <c:v>2350</c:v>
                </c:pt>
                <c:pt idx="64">
                  <c:v>2420</c:v>
                </c:pt>
                <c:pt idx="65">
                  <c:v>2500</c:v>
                </c:pt>
              </c:numCache>
            </c:numRef>
          </c:xVal>
          <c:yVal>
            <c:numRef>
              <c:f>ChartData!$C$3:$C$68</c:f>
              <c:numCache>
                <c:formatCode>General</c:formatCode>
                <c:ptCount val="66"/>
                <c:pt idx="0">
                  <c:v>0.99630303030303036</c:v>
                </c:pt>
                <c:pt idx="1">
                  <c:v>0.99630303030303036</c:v>
                </c:pt>
                <c:pt idx="2">
                  <c:v>0.99630303030303036</c:v>
                </c:pt>
                <c:pt idx="3">
                  <c:v>0.99630303030303036</c:v>
                </c:pt>
                <c:pt idx="4">
                  <c:v>0.99630303030303036</c:v>
                </c:pt>
                <c:pt idx="5">
                  <c:v>0.99630303030303036</c:v>
                </c:pt>
                <c:pt idx="6">
                  <c:v>0.99630303030303036</c:v>
                </c:pt>
                <c:pt idx="7">
                  <c:v>0.99630303030303036</c:v>
                </c:pt>
                <c:pt idx="8">
                  <c:v>0.99630303030303036</c:v>
                </c:pt>
                <c:pt idx="9">
                  <c:v>0.99630303030303036</c:v>
                </c:pt>
                <c:pt idx="10">
                  <c:v>0.99630303030303036</c:v>
                </c:pt>
                <c:pt idx="11">
                  <c:v>0.99630303030303036</c:v>
                </c:pt>
                <c:pt idx="12">
                  <c:v>0.99630303030303036</c:v>
                </c:pt>
                <c:pt idx="13">
                  <c:v>0.99630303030303036</c:v>
                </c:pt>
                <c:pt idx="14">
                  <c:v>0.99630303030303036</c:v>
                </c:pt>
                <c:pt idx="15">
                  <c:v>0.99630303030303036</c:v>
                </c:pt>
                <c:pt idx="16">
                  <c:v>0.99630303030303036</c:v>
                </c:pt>
                <c:pt idx="17">
                  <c:v>0.99630303030303036</c:v>
                </c:pt>
                <c:pt idx="18">
                  <c:v>0.99630303030303036</c:v>
                </c:pt>
                <c:pt idx="19">
                  <c:v>0.99630303030303036</c:v>
                </c:pt>
                <c:pt idx="20">
                  <c:v>0.99630303030303036</c:v>
                </c:pt>
                <c:pt idx="21">
                  <c:v>0.99630303030303036</c:v>
                </c:pt>
                <c:pt idx="22">
                  <c:v>0.99630303030303036</c:v>
                </c:pt>
                <c:pt idx="23">
                  <c:v>0.99630303030303036</c:v>
                </c:pt>
                <c:pt idx="24">
                  <c:v>0.99630303030303036</c:v>
                </c:pt>
                <c:pt idx="25">
                  <c:v>0.99630303030303036</c:v>
                </c:pt>
                <c:pt idx="26">
                  <c:v>0.99630303030303036</c:v>
                </c:pt>
                <c:pt idx="27">
                  <c:v>0.99630303030303036</c:v>
                </c:pt>
                <c:pt idx="28">
                  <c:v>0.99630303030303036</c:v>
                </c:pt>
                <c:pt idx="29">
                  <c:v>0.99630303030303036</c:v>
                </c:pt>
                <c:pt idx="30">
                  <c:v>0.99630303030303036</c:v>
                </c:pt>
                <c:pt idx="31">
                  <c:v>0.99630303030303036</c:v>
                </c:pt>
                <c:pt idx="32">
                  <c:v>0.99630303030303036</c:v>
                </c:pt>
                <c:pt idx="33">
                  <c:v>0.99630303030303036</c:v>
                </c:pt>
                <c:pt idx="34">
                  <c:v>0.99630303030303036</c:v>
                </c:pt>
                <c:pt idx="35">
                  <c:v>0.99630303030303036</c:v>
                </c:pt>
                <c:pt idx="36">
                  <c:v>0.99630303030303036</c:v>
                </c:pt>
                <c:pt idx="37">
                  <c:v>0.99630303030303036</c:v>
                </c:pt>
                <c:pt idx="38">
                  <c:v>0.99630303030303036</c:v>
                </c:pt>
                <c:pt idx="39">
                  <c:v>0.99630303030303036</c:v>
                </c:pt>
                <c:pt idx="40">
                  <c:v>0.99630303030303036</c:v>
                </c:pt>
                <c:pt idx="41">
                  <c:v>0.99630303030303036</c:v>
                </c:pt>
                <c:pt idx="42">
                  <c:v>0.99630303030303036</c:v>
                </c:pt>
                <c:pt idx="43">
                  <c:v>0.99630303030303036</c:v>
                </c:pt>
                <c:pt idx="44">
                  <c:v>0.99630303030303036</c:v>
                </c:pt>
                <c:pt idx="45">
                  <c:v>0.99630303030303036</c:v>
                </c:pt>
                <c:pt idx="46">
                  <c:v>0.99630303030303036</c:v>
                </c:pt>
                <c:pt idx="47">
                  <c:v>0.99630303030303036</c:v>
                </c:pt>
                <c:pt idx="48">
                  <c:v>0.99630303030303036</c:v>
                </c:pt>
                <c:pt idx="49">
                  <c:v>0.99630303030303036</c:v>
                </c:pt>
                <c:pt idx="50">
                  <c:v>0.99630303030303036</c:v>
                </c:pt>
                <c:pt idx="51">
                  <c:v>0.99630303030303036</c:v>
                </c:pt>
                <c:pt idx="52">
                  <c:v>0.99630303030303036</c:v>
                </c:pt>
                <c:pt idx="53">
                  <c:v>0.99630303030303036</c:v>
                </c:pt>
                <c:pt idx="54">
                  <c:v>0.99630303030303036</c:v>
                </c:pt>
                <c:pt idx="55">
                  <c:v>0.99630303030303036</c:v>
                </c:pt>
                <c:pt idx="56">
                  <c:v>0.99630303030303036</c:v>
                </c:pt>
                <c:pt idx="57">
                  <c:v>0.99630303030303036</c:v>
                </c:pt>
                <c:pt idx="58">
                  <c:v>0.99630303030303036</c:v>
                </c:pt>
                <c:pt idx="59">
                  <c:v>0.99630303030303036</c:v>
                </c:pt>
                <c:pt idx="60">
                  <c:v>0.99630303030303036</c:v>
                </c:pt>
                <c:pt idx="61">
                  <c:v>0.99630303030303036</c:v>
                </c:pt>
                <c:pt idx="62">
                  <c:v>0.99630303030303036</c:v>
                </c:pt>
                <c:pt idx="63">
                  <c:v>0.99630303030303036</c:v>
                </c:pt>
                <c:pt idx="64">
                  <c:v>0.99630303030303036</c:v>
                </c:pt>
                <c:pt idx="65">
                  <c:v>0.99630303030303036</c:v>
                </c:pt>
              </c:numCache>
            </c:numRef>
          </c:yVal>
          <c:smooth val="1"/>
          <c:extLst>
            <c:ext xmlns:c16="http://schemas.microsoft.com/office/drawing/2014/chart" uri="{C3380CC4-5D6E-409C-BE32-E72D297353CC}">
              <c16:uniqueId val="{00000002-8053-48A4-8D6F-DF1409BC221C}"/>
            </c:ext>
          </c:extLst>
        </c:ser>
        <c:ser>
          <c:idx val="6"/>
          <c:order val="6"/>
          <c:tx>
            <c:v>Manual threshold</c:v>
          </c:tx>
          <c:spPr>
            <a:ln w="22225" cap="rnd">
              <a:solidFill>
                <a:schemeClr val="accent5">
                  <a:lumMod val="75000"/>
                  <a:alpha val="95000"/>
                </a:schemeClr>
              </a:solidFill>
              <a:prstDash val="lgDash"/>
              <a:round/>
            </a:ln>
            <a:effectLst>
              <a:outerShdw blurRad="40000" dist="23000" dir="5400000" rotWithShape="0">
                <a:srgbClr val="000000">
                  <a:alpha val="35000"/>
                </a:srgbClr>
              </a:outerShdw>
            </a:effectLst>
          </c:spPr>
          <c:marker>
            <c:symbol val="none"/>
          </c:marker>
          <c:xVal>
            <c:numRef>
              <c:f>ChartData!$B$3:$B$68</c:f>
              <c:numCache>
                <c:formatCode>General</c:formatCode>
                <c:ptCount val="66"/>
                <c:pt idx="0">
                  <c:v>0</c:v>
                </c:pt>
                <c:pt idx="1">
                  <c:v>10</c:v>
                </c:pt>
                <c:pt idx="2">
                  <c:v>20</c:v>
                </c:pt>
                <c:pt idx="3">
                  <c:v>30</c:v>
                </c:pt>
                <c:pt idx="4">
                  <c:v>40</c:v>
                </c:pt>
                <c:pt idx="5">
                  <c:v>50</c:v>
                </c:pt>
                <c:pt idx="6">
                  <c:v>60</c:v>
                </c:pt>
                <c:pt idx="7">
                  <c:v>70</c:v>
                </c:pt>
                <c:pt idx="8">
                  <c:v>80</c:v>
                </c:pt>
                <c:pt idx="9">
                  <c:v>90</c:v>
                </c:pt>
                <c:pt idx="10">
                  <c:v>100</c:v>
                </c:pt>
                <c:pt idx="11">
                  <c:v>120</c:v>
                </c:pt>
                <c:pt idx="12">
                  <c:v>140</c:v>
                </c:pt>
                <c:pt idx="13">
                  <c:v>160</c:v>
                </c:pt>
                <c:pt idx="14">
                  <c:v>180</c:v>
                </c:pt>
                <c:pt idx="15">
                  <c:v>200</c:v>
                </c:pt>
                <c:pt idx="16">
                  <c:v>220</c:v>
                </c:pt>
                <c:pt idx="17">
                  <c:v>240</c:v>
                </c:pt>
                <c:pt idx="18">
                  <c:v>260</c:v>
                </c:pt>
                <c:pt idx="19">
                  <c:v>280</c:v>
                </c:pt>
                <c:pt idx="20">
                  <c:v>300</c:v>
                </c:pt>
                <c:pt idx="21">
                  <c:v>320</c:v>
                </c:pt>
                <c:pt idx="22">
                  <c:v>340</c:v>
                </c:pt>
                <c:pt idx="23">
                  <c:v>360</c:v>
                </c:pt>
                <c:pt idx="24">
                  <c:v>380</c:v>
                </c:pt>
                <c:pt idx="25">
                  <c:v>400</c:v>
                </c:pt>
                <c:pt idx="26">
                  <c:v>450</c:v>
                </c:pt>
                <c:pt idx="27">
                  <c:v>500</c:v>
                </c:pt>
                <c:pt idx="28">
                  <c:v>550</c:v>
                </c:pt>
                <c:pt idx="29">
                  <c:v>600</c:v>
                </c:pt>
                <c:pt idx="30">
                  <c:v>650</c:v>
                </c:pt>
                <c:pt idx="31">
                  <c:v>700</c:v>
                </c:pt>
                <c:pt idx="32">
                  <c:v>750</c:v>
                </c:pt>
                <c:pt idx="33">
                  <c:v>800</c:v>
                </c:pt>
                <c:pt idx="34">
                  <c:v>850</c:v>
                </c:pt>
                <c:pt idx="35">
                  <c:v>900</c:v>
                </c:pt>
                <c:pt idx="36">
                  <c:v>950</c:v>
                </c:pt>
                <c:pt idx="37">
                  <c:v>1000</c:v>
                </c:pt>
                <c:pt idx="38">
                  <c:v>1050</c:v>
                </c:pt>
                <c:pt idx="39">
                  <c:v>1100</c:v>
                </c:pt>
                <c:pt idx="40">
                  <c:v>1150</c:v>
                </c:pt>
                <c:pt idx="41">
                  <c:v>1200</c:v>
                </c:pt>
                <c:pt idx="42">
                  <c:v>1250</c:v>
                </c:pt>
                <c:pt idx="43">
                  <c:v>1300</c:v>
                </c:pt>
                <c:pt idx="44">
                  <c:v>1350</c:v>
                </c:pt>
                <c:pt idx="45">
                  <c:v>1400</c:v>
                </c:pt>
                <c:pt idx="46">
                  <c:v>1450</c:v>
                </c:pt>
                <c:pt idx="47">
                  <c:v>1500</c:v>
                </c:pt>
                <c:pt idx="48">
                  <c:v>1550</c:v>
                </c:pt>
                <c:pt idx="49">
                  <c:v>1600</c:v>
                </c:pt>
                <c:pt idx="50">
                  <c:v>1650</c:v>
                </c:pt>
                <c:pt idx="51">
                  <c:v>1700</c:v>
                </c:pt>
                <c:pt idx="52">
                  <c:v>1750</c:v>
                </c:pt>
                <c:pt idx="53">
                  <c:v>1800</c:v>
                </c:pt>
                <c:pt idx="54">
                  <c:v>1850</c:v>
                </c:pt>
                <c:pt idx="55">
                  <c:v>1900</c:v>
                </c:pt>
                <c:pt idx="56">
                  <c:v>1950</c:v>
                </c:pt>
                <c:pt idx="57">
                  <c:v>2000</c:v>
                </c:pt>
                <c:pt idx="58">
                  <c:v>2050</c:v>
                </c:pt>
                <c:pt idx="59">
                  <c:v>2100</c:v>
                </c:pt>
                <c:pt idx="60">
                  <c:v>2150</c:v>
                </c:pt>
                <c:pt idx="61">
                  <c:v>2200</c:v>
                </c:pt>
                <c:pt idx="62">
                  <c:v>2270</c:v>
                </c:pt>
                <c:pt idx="63">
                  <c:v>2350</c:v>
                </c:pt>
                <c:pt idx="64">
                  <c:v>2420</c:v>
                </c:pt>
                <c:pt idx="65">
                  <c:v>2500</c:v>
                </c:pt>
              </c:numCache>
            </c:numRef>
          </c:xVal>
          <c:yVal>
            <c:numRef>
              <c:f>ChartData!$AH$3:$AH$68</c:f>
              <c:numCache>
                <c:formatCode>General</c:formatCode>
                <c:ptCount val="66"/>
                <c:pt idx="0">
                  <c:v>0.995</c:v>
                </c:pt>
                <c:pt idx="1">
                  <c:v>0.995</c:v>
                </c:pt>
                <c:pt idx="2">
                  <c:v>0.995</c:v>
                </c:pt>
                <c:pt idx="3">
                  <c:v>0.995</c:v>
                </c:pt>
                <c:pt idx="4">
                  <c:v>0.995</c:v>
                </c:pt>
                <c:pt idx="5">
                  <c:v>0.995</c:v>
                </c:pt>
                <c:pt idx="6">
                  <c:v>0.995</c:v>
                </c:pt>
                <c:pt idx="7">
                  <c:v>0.995</c:v>
                </c:pt>
                <c:pt idx="8">
                  <c:v>0.995</c:v>
                </c:pt>
                <c:pt idx="9">
                  <c:v>0.995</c:v>
                </c:pt>
                <c:pt idx="10">
                  <c:v>0.995</c:v>
                </c:pt>
                <c:pt idx="11">
                  <c:v>0.995</c:v>
                </c:pt>
                <c:pt idx="12">
                  <c:v>0.995</c:v>
                </c:pt>
                <c:pt idx="13">
                  <c:v>0.995</c:v>
                </c:pt>
                <c:pt idx="14">
                  <c:v>0.995</c:v>
                </c:pt>
                <c:pt idx="15">
                  <c:v>0.995</c:v>
                </c:pt>
                <c:pt idx="16">
                  <c:v>0.995</c:v>
                </c:pt>
                <c:pt idx="17">
                  <c:v>0.995</c:v>
                </c:pt>
                <c:pt idx="18">
                  <c:v>0.995</c:v>
                </c:pt>
                <c:pt idx="19">
                  <c:v>0.995</c:v>
                </c:pt>
                <c:pt idx="20">
                  <c:v>0.995</c:v>
                </c:pt>
                <c:pt idx="21">
                  <c:v>0.995</c:v>
                </c:pt>
                <c:pt idx="22">
                  <c:v>0.995</c:v>
                </c:pt>
                <c:pt idx="23">
                  <c:v>0.995</c:v>
                </c:pt>
                <c:pt idx="24">
                  <c:v>0.995</c:v>
                </c:pt>
                <c:pt idx="25">
                  <c:v>0.995</c:v>
                </c:pt>
                <c:pt idx="26">
                  <c:v>0.995</c:v>
                </c:pt>
                <c:pt idx="27">
                  <c:v>0.995</c:v>
                </c:pt>
                <c:pt idx="28">
                  <c:v>0.995</c:v>
                </c:pt>
                <c:pt idx="29">
                  <c:v>0.995</c:v>
                </c:pt>
                <c:pt idx="30">
                  <c:v>0.995</c:v>
                </c:pt>
                <c:pt idx="31">
                  <c:v>0.995</c:v>
                </c:pt>
                <c:pt idx="32">
                  <c:v>0.995</c:v>
                </c:pt>
                <c:pt idx="33">
                  <c:v>0.995</c:v>
                </c:pt>
                <c:pt idx="34">
                  <c:v>0.995</c:v>
                </c:pt>
                <c:pt idx="35">
                  <c:v>0.995</c:v>
                </c:pt>
                <c:pt idx="36">
                  <c:v>0.995</c:v>
                </c:pt>
                <c:pt idx="37">
                  <c:v>0.995</c:v>
                </c:pt>
                <c:pt idx="38">
                  <c:v>0.995</c:v>
                </c:pt>
                <c:pt idx="39">
                  <c:v>0.995</c:v>
                </c:pt>
                <c:pt idx="40">
                  <c:v>0.995</c:v>
                </c:pt>
                <c:pt idx="41">
                  <c:v>0.995</c:v>
                </c:pt>
                <c:pt idx="42">
                  <c:v>0.995</c:v>
                </c:pt>
                <c:pt idx="43">
                  <c:v>0.995</c:v>
                </c:pt>
                <c:pt idx="44">
                  <c:v>0.995</c:v>
                </c:pt>
                <c:pt idx="45">
                  <c:v>0.995</c:v>
                </c:pt>
                <c:pt idx="46">
                  <c:v>0.995</c:v>
                </c:pt>
                <c:pt idx="47">
                  <c:v>0.995</c:v>
                </c:pt>
                <c:pt idx="48">
                  <c:v>0.995</c:v>
                </c:pt>
                <c:pt idx="49">
                  <c:v>0.995</c:v>
                </c:pt>
                <c:pt idx="50">
                  <c:v>0.995</c:v>
                </c:pt>
                <c:pt idx="51">
                  <c:v>0.995</c:v>
                </c:pt>
                <c:pt idx="52">
                  <c:v>0.995</c:v>
                </c:pt>
                <c:pt idx="53">
                  <c:v>0.995</c:v>
                </c:pt>
                <c:pt idx="54">
                  <c:v>0.995</c:v>
                </c:pt>
                <c:pt idx="55">
                  <c:v>0.995</c:v>
                </c:pt>
                <c:pt idx="56">
                  <c:v>0.995</c:v>
                </c:pt>
                <c:pt idx="57">
                  <c:v>0.995</c:v>
                </c:pt>
                <c:pt idx="58">
                  <c:v>0.995</c:v>
                </c:pt>
                <c:pt idx="59">
                  <c:v>0.995</c:v>
                </c:pt>
                <c:pt idx="60">
                  <c:v>0.995</c:v>
                </c:pt>
                <c:pt idx="61">
                  <c:v>0.995</c:v>
                </c:pt>
                <c:pt idx="62">
                  <c:v>0.995</c:v>
                </c:pt>
                <c:pt idx="63">
                  <c:v>0.995</c:v>
                </c:pt>
                <c:pt idx="64">
                  <c:v>0.995</c:v>
                </c:pt>
                <c:pt idx="65">
                  <c:v>0.995</c:v>
                </c:pt>
              </c:numCache>
            </c:numRef>
          </c:yVal>
          <c:smooth val="1"/>
          <c:extLst>
            <c:ext xmlns:c16="http://schemas.microsoft.com/office/drawing/2014/chart" uri="{C3380CC4-5D6E-409C-BE32-E72D297353CC}">
              <c16:uniqueId val="{00000000-D41F-4FE3-8151-9EECC6525609}"/>
            </c:ext>
          </c:extLst>
        </c:ser>
        <c:dLbls>
          <c:showLegendKey val="0"/>
          <c:showVal val="0"/>
          <c:showCatName val="0"/>
          <c:showSerName val="0"/>
          <c:showPercent val="0"/>
          <c:showBubbleSize val="0"/>
        </c:dLbls>
        <c:axId val="1268937024"/>
        <c:axId val="1268937984"/>
      </c:scatterChart>
      <c:valAx>
        <c:axId val="643309696"/>
        <c:scaling>
          <c:orientation val="minMax"/>
          <c:max val="2500"/>
          <c:min val="0"/>
        </c:scaling>
        <c:delete val="0"/>
        <c:axPos val="b"/>
        <c:majorGridlines>
          <c:spPr>
            <a:ln w="9525" cap="flat" cmpd="sng" algn="ctr">
              <a:solidFill>
                <a:schemeClr val="lt1">
                  <a:lumMod val="95000"/>
                  <a:alpha val="10000"/>
                </a:schemeClr>
              </a:solidFill>
              <a:round/>
            </a:ln>
            <a:effectLst/>
          </c:spPr>
        </c:majorGridlines>
        <c:title>
          <c:tx>
            <c:rich>
              <a:bodyPr rot="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r>
                  <a:rPr lang="en-AU"/>
                  <a:t>day DEGREES SINCE PLANTING</a:t>
                </a:r>
              </a:p>
            </c:rich>
          </c:tx>
          <c:overlay val="0"/>
          <c:spPr>
            <a:noFill/>
            <a:ln>
              <a:noFill/>
            </a:ln>
            <a:effectLst/>
          </c:spPr>
          <c:txPr>
            <a:bodyPr rot="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endParaRPr lang="en-AU"/>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735768400"/>
        <c:crosses val="autoZero"/>
        <c:crossBetween val="midCat"/>
      </c:valAx>
      <c:valAx>
        <c:axId val="735768400"/>
        <c:scaling>
          <c:orientation val="minMax"/>
          <c:max val="100"/>
          <c:min val="0"/>
        </c:scaling>
        <c:delete val="0"/>
        <c:axPos val="l"/>
        <c:majorGridlines>
          <c:spPr>
            <a:ln w="9525" cap="flat" cmpd="sng" algn="ctr">
              <a:solidFill>
                <a:schemeClr val="lt1">
                  <a:lumMod val="95000"/>
                  <a:alpha val="10000"/>
                </a:schemeClr>
              </a:solidFill>
              <a:round/>
            </a:ln>
            <a:effectLst/>
          </c:spPr>
        </c:majorGridlines>
        <c:title>
          <c:tx>
            <c:rich>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r>
                  <a:rPr lang="en-AU"/>
                  <a:t>Cotton Lint Yield (% of maximum)</a:t>
                </a:r>
              </a:p>
            </c:rich>
          </c:tx>
          <c:overlay val="0"/>
          <c:spPr>
            <a:noFill/>
            <a:ln>
              <a:noFill/>
            </a:ln>
            <a:effectLst/>
          </c:spPr>
          <c:txPr>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endParaRPr lang="en-US"/>
            </a:p>
          </c:txPr>
        </c:title>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643309696"/>
        <c:crosses val="autoZero"/>
        <c:crossBetween val="midCat"/>
      </c:valAx>
      <c:valAx>
        <c:axId val="1268937984"/>
        <c:scaling>
          <c:orientation val="minMax"/>
          <c:max val="1"/>
          <c:min val="0"/>
        </c:scaling>
        <c:delete val="0"/>
        <c:axPos val="r"/>
        <c:numFmt formatCode="General" sourceLinked="1"/>
        <c:majorTickMark val="out"/>
        <c:minorTickMark val="none"/>
        <c:tickLblPos val="none"/>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268937024"/>
        <c:crosses val="max"/>
        <c:crossBetween val="midCat"/>
      </c:valAx>
      <c:valAx>
        <c:axId val="1268937024"/>
        <c:scaling>
          <c:orientation val="minMax"/>
        </c:scaling>
        <c:delete val="1"/>
        <c:axPos val="b"/>
        <c:numFmt formatCode="0" sourceLinked="1"/>
        <c:majorTickMark val="none"/>
        <c:minorTickMark val="none"/>
        <c:tickLblPos val="nextTo"/>
        <c:crossAx val="1268937984"/>
        <c:crosses val="autoZero"/>
        <c:crossBetween val="midCat"/>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2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gradFill>
        <a:gsLst>
          <a:gs pos="100000">
            <a:schemeClr val="dk1">
              <a:lumMod val="95000"/>
              <a:lumOff val="5000"/>
            </a:schemeClr>
          </a:gs>
          <a:gs pos="0">
            <a:schemeClr val="dk1">
              <a:lumMod val="75000"/>
              <a:lumOff val="25000"/>
            </a:schemeClr>
          </a:gs>
        </a:gsLst>
        <a:path path="circle">
          <a:fillToRect l="50000" t="50000" r="50000" b="50000"/>
        </a:path>
      </a:gradFill>
      <a:ln w="9525">
        <a:solidFill>
          <a:schemeClr val="dk1">
            <a:lumMod val="75000"/>
            <a:lumOff val="25000"/>
          </a:schemeClr>
        </a:solidFill>
      </a:ln>
    </cs:spPr>
  </cs:downBar>
  <cs:dropLine>
    <cs:lnRef idx="0"/>
    <cs:fillRef idx="0"/>
    <cs:effectRef idx="0"/>
    <cs:fontRef idx="minor">
      <a:schemeClr val="tx1"/>
    </cs:fontRef>
    <cs:spPr>
      <a:ln w="9525" cap="flat" cmpd="sng" algn="ctr">
        <a:solidFill>
          <a:schemeClr val="lt1"/>
        </a:solidFill>
        <a:round/>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cap="flat" cmpd="sng" algn="ctr">
        <a:solidFill>
          <a:schemeClr val="lt1"/>
        </a:solidFill>
        <a:round/>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gradFill>
        <a:gsLst>
          <a:gs pos="100000">
            <a:schemeClr val="lt1">
              <a:lumMod val="85000"/>
            </a:schemeClr>
          </a:gs>
          <a:gs pos="0">
            <a:schemeClr val="lt1"/>
          </a:gs>
        </a:gsLst>
        <a:path path="circle">
          <a:fillToRect l="50000" t="50000" r="50000" b="50000"/>
        </a:path>
      </a:gradFill>
      <a:ln w="9525" cap="flat" cmpd="sng" algn="ctr">
        <a:solidFill>
          <a:schemeClr val="lt1"/>
        </a:solidFill>
        <a:round/>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11</xdr:col>
      <xdr:colOff>304800</xdr:colOff>
      <xdr:row>1</xdr:row>
      <xdr:rowOff>95250</xdr:rowOff>
    </xdr:from>
    <xdr:to>
      <xdr:col>22</xdr:col>
      <xdr:colOff>552450</xdr:colOff>
      <xdr:row>36</xdr:row>
      <xdr:rowOff>123825</xdr:rowOff>
    </xdr:to>
    <xdr:pic>
      <xdr:nvPicPr>
        <xdr:cNvPr id="4" name="Picture 3">
          <a:extLst>
            <a:ext uri="{FF2B5EF4-FFF2-40B4-BE49-F238E27FC236}">
              <a16:creationId xmlns:a16="http://schemas.microsoft.com/office/drawing/2014/main" id="{362C92DE-A5F2-466A-46AB-56C5F5F247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010400" y="257175"/>
          <a:ext cx="6953250" cy="7124700"/>
        </a:xfrm>
        <a:prstGeom prst="rect">
          <a:avLst/>
        </a:prstGeom>
      </xdr:spPr>
    </xdr:pic>
    <xdr:clientData/>
  </xdr:twoCellAnchor>
  <xdr:twoCellAnchor editAs="oneCell">
    <xdr:from>
      <xdr:col>4</xdr:col>
      <xdr:colOff>53227</xdr:colOff>
      <xdr:row>20</xdr:row>
      <xdr:rowOff>33565</xdr:rowOff>
    </xdr:from>
    <xdr:to>
      <xdr:col>9</xdr:col>
      <xdr:colOff>86497</xdr:colOff>
      <xdr:row>24</xdr:row>
      <xdr:rowOff>123825</xdr:rowOff>
    </xdr:to>
    <xdr:pic>
      <xdr:nvPicPr>
        <xdr:cNvPr id="5" name="Picture 4">
          <a:extLst>
            <a:ext uri="{FF2B5EF4-FFF2-40B4-BE49-F238E27FC236}">
              <a16:creationId xmlns:a16="http://schemas.microsoft.com/office/drawing/2014/main" id="{3C23CC1C-2C4E-B230-AF7A-2778AEE8F15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491627" y="4700815"/>
          <a:ext cx="3081270" cy="737960"/>
        </a:xfrm>
        <a:prstGeom prst="rect">
          <a:avLst/>
        </a:prstGeom>
      </xdr:spPr>
    </xdr:pic>
    <xdr:clientData/>
  </xdr:twoCellAnchor>
  <xdr:twoCellAnchor editAs="oneCell">
    <xdr:from>
      <xdr:col>4</xdr:col>
      <xdr:colOff>409575</xdr:colOff>
      <xdr:row>25</xdr:row>
      <xdr:rowOff>95249</xdr:rowOff>
    </xdr:from>
    <xdr:to>
      <xdr:col>8</xdr:col>
      <xdr:colOff>159733</xdr:colOff>
      <xdr:row>32</xdr:row>
      <xdr:rowOff>44115</xdr:rowOff>
    </xdr:to>
    <xdr:pic>
      <xdr:nvPicPr>
        <xdr:cNvPr id="6" name="Picture 5" descr="A green leaf on a black background&#10;&#10;AI-generated content may be incorrect.">
          <a:extLst>
            <a:ext uri="{FF2B5EF4-FFF2-40B4-BE49-F238E27FC236}">
              <a16:creationId xmlns:a16="http://schemas.microsoft.com/office/drawing/2014/main" id="{EE677E90-EE21-D93A-70FB-63A7BBB2507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847975" y="5572124"/>
          <a:ext cx="2188558" cy="10823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247650</xdr:colOff>
      <xdr:row>0</xdr:row>
      <xdr:rowOff>95250</xdr:rowOff>
    </xdr:from>
    <xdr:to>
      <xdr:col>8</xdr:col>
      <xdr:colOff>409575</xdr:colOff>
      <xdr:row>26</xdr:row>
      <xdr:rowOff>85725</xdr:rowOff>
    </xdr:to>
    <xdr:graphicFrame macro="">
      <xdr:nvGraphicFramePr>
        <xdr:cNvPr id="3" name="Chart 2">
          <a:extLst>
            <a:ext uri="{FF2B5EF4-FFF2-40B4-BE49-F238E27FC236}">
              <a16:creationId xmlns:a16="http://schemas.microsoft.com/office/drawing/2014/main" id="{F9C64C58-D795-407F-936C-71CA3AC2C8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A747275-2455-4DF5-A4F9-D964C66211D8}" name="Table1" displayName="Table1" ref="A1:F35" totalsRowShown="0" headerRowDxfId="13">
  <autoFilter ref="A1:F35" xr:uid="{5A747275-2455-4DF5-A4F9-D964C66211D8}"/>
  <tableColumns count="6">
    <tableColumn id="1" xr3:uid="{01946549-CE7E-4297-9C74-BEDD6AB9D310}" name="Product"/>
    <tableColumn id="2" xr3:uid="{916388F8-282D-4DD7-8A26-A9431CD4F5A7}" name="Active ingredient"/>
    <tableColumn id="3" xr3:uid="{0DED61CB-802D-476F-B5EA-A42D87922A3A}" name="Typical rate"/>
    <tableColumn id="4" xr3:uid="{1E8C4545-766D-43C0-AA37-C9077C03A33C}" name="Price per unit ($)" dataDxfId="12"/>
    <tableColumn id="5" xr3:uid="{C056C0B2-EB66-4344-A44E-AA944931E8D8}" name="Unit (L or kg)"/>
    <tableColumn id="6" xr3:uid="{23A9EE74-B2E6-45FC-94D1-6F7135CEC73B}" name="price at typical rate" dataCellStyle="Currency">
      <calculatedColumnFormula>Table1[[#This Row],[Typical rate]]*Table1[[#This Row],[Price per unit ($)]]</calculatedColumnFormula>
    </tableColumn>
  </tableColumns>
  <tableStyleInfo name="TableStyleLight1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C22F6AF-0930-4123-AB6E-552769CCAE7E}" name="Table3" displayName="Table3" ref="M1:M4" totalsRowShown="0" headerRowDxfId="11" dataDxfId="10">
  <autoFilter ref="M1:M4" xr:uid="{DC22F6AF-0930-4123-AB6E-552769CCAE7E}"/>
  <tableColumns count="1">
    <tableColumn id="1" xr3:uid="{CCBEEBA7-3B73-4C3E-A41C-1AC3833380AB}" name="Selection methods:" dataDxfId="9"/>
  </tableColumns>
  <tableStyleInfo name="TableStyleLight1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david@innokasintel.com" TargetMode="External"/><Relationship Id="rId1" Type="http://schemas.openxmlformats.org/officeDocument/2006/relationships/hyperlink" Target="mailto:graham.charles15@outlook.co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9B7F9-00CA-418E-83F0-80C61B8800B6}">
  <dimension ref="D2:J38"/>
  <sheetViews>
    <sheetView showGridLines="0" tabSelected="1" workbookViewId="0">
      <selection activeCell="Y17" sqref="Y17"/>
    </sheetView>
  </sheetViews>
  <sheetFormatPr defaultRowHeight="12.75" x14ac:dyDescent="0.2"/>
  <sheetData>
    <row r="2" spans="4:10" ht="87.75" x14ac:dyDescent="1.05">
      <c r="D2" s="272" t="s">
        <v>275</v>
      </c>
    </row>
    <row r="3" spans="4:10" ht="15.75" x14ac:dyDescent="0.25">
      <c r="D3" s="273" t="s">
        <v>419</v>
      </c>
      <c r="E3" s="274"/>
      <c r="F3" s="274"/>
      <c r="G3" s="274"/>
      <c r="H3" s="274"/>
      <c r="I3" s="274"/>
      <c r="J3" s="274"/>
    </row>
    <row r="4" spans="4:10" ht="15" x14ac:dyDescent="0.2">
      <c r="D4" s="274" t="s">
        <v>420</v>
      </c>
      <c r="E4" s="274"/>
      <c r="F4" s="274"/>
      <c r="G4" s="274"/>
      <c r="H4" s="274"/>
      <c r="I4" s="274"/>
      <c r="J4" s="274"/>
    </row>
    <row r="5" spans="4:10" ht="15" x14ac:dyDescent="0.2">
      <c r="D5" s="274"/>
      <c r="E5" s="274"/>
      <c r="F5" s="274"/>
      <c r="G5" s="274"/>
      <c r="H5" s="274"/>
      <c r="I5" s="274"/>
      <c r="J5" s="274"/>
    </row>
    <row r="6" spans="4:10" ht="15" x14ac:dyDescent="0.2">
      <c r="D6" s="274"/>
      <c r="E6" s="274"/>
      <c r="F6" s="274"/>
      <c r="G6" s="274"/>
      <c r="H6" s="274"/>
      <c r="I6" s="274"/>
      <c r="J6" s="274"/>
    </row>
    <row r="7" spans="4:10" ht="15.75" x14ac:dyDescent="0.25">
      <c r="D7" s="274" t="s">
        <v>427</v>
      </c>
      <c r="E7" s="274"/>
      <c r="F7" s="274"/>
      <c r="G7" s="274"/>
      <c r="H7" s="274"/>
      <c r="I7" s="274"/>
      <c r="J7" s="274"/>
    </row>
    <row r="8" spans="4:10" ht="15.75" x14ac:dyDescent="0.25">
      <c r="D8" s="273" t="s">
        <v>421</v>
      </c>
      <c r="E8" s="274"/>
      <c r="F8" s="274"/>
      <c r="G8" s="274"/>
      <c r="H8" s="274"/>
      <c r="I8" s="274"/>
      <c r="J8" s="274"/>
    </row>
    <row r="9" spans="4:10" ht="15" x14ac:dyDescent="0.2">
      <c r="D9" s="275" t="s">
        <v>422</v>
      </c>
      <c r="E9" s="274"/>
      <c r="F9" s="274"/>
      <c r="G9" s="274"/>
      <c r="H9" s="274"/>
      <c r="I9" s="274"/>
      <c r="J9" s="274"/>
    </row>
    <row r="10" spans="4:10" ht="15" x14ac:dyDescent="0.2">
      <c r="D10" s="274"/>
      <c r="E10" s="274"/>
      <c r="F10" s="274"/>
      <c r="G10" s="274"/>
      <c r="H10" s="274"/>
      <c r="I10" s="274"/>
      <c r="J10" s="274"/>
    </row>
    <row r="11" spans="4:10" ht="15.75" x14ac:dyDescent="0.25">
      <c r="D11" s="274" t="s">
        <v>428</v>
      </c>
      <c r="E11" s="274"/>
      <c r="F11" s="274"/>
      <c r="G11" s="274"/>
      <c r="H11" s="274"/>
      <c r="I11" s="274"/>
      <c r="J11" s="274"/>
    </row>
    <row r="12" spans="4:10" ht="15.75" x14ac:dyDescent="0.25">
      <c r="D12" s="273" t="s">
        <v>423</v>
      </c>
      <c r="E12" s="274"/>
      <c r="F12" s="274"/>
      <c r="G12" s="274"/>
      <c r="H12" s="274"/>
      <c r="I12" s="274"/>
      <c r="J12" s="274"/>
    </row>
    <row r="13" spans="4:10" ht="15" x14ac:dyDescent="0.2">
      <c r="D13" s="275" t="s">
        <v>424</v>
      </c>
      <c r="E13" s="274"/>
      <c r="F13" s="274"/>
      <c r="G13" s="274"/>
      <c r="H13" s="274"/>
      <c r="I13" s="274"/>
      <c r="J13" s="274"/>
    </row>
    <row r="14" spans="4:10" ht="15" x14ac:dyDescent="0.2">
      <c r="D14" s="274"/>
      <c r="E14" s="274"/>
      <c r="F14" s="274"/>
      <c r="G14" s="274"/>
      <c r="H14" s="274"/>
      <c r="I14" s="274"/>
      <c r="J14" s="274"/>
    </row>
    <row r="15" spans="4:10" ht="15" x14ac:dyDescent="0.2">
      <c r="D15" s="274"/>
      <c r="E15" s="274"/>
      <c r="F15" s="274"/>
      <c r="G15" s="274"/>
      <c r="H15" s="274"/>
      <c r="I15" s="274"/>
      <c r="J15" s="274"/>
    </row>
    <row r="16" spans="4:10" ht="15" x14ac:dyDescent="0.2">
      <c r="D16" s="274" t="s">
        <v>426</v>
      </c>
      <c r="E16" s="274"/>
      <c r="F16" s="274"/>
      <c r="G16" s="274"/>
      <c r="H16" s="274"/>
      <c r="I16" s="274"/>
      <c r="J16" s="274"/>
    </row>
    <row r="17" spans="4:10" ht="15" x14ac:dyDescent="0.2">
      <c r="D17" s="274" t="s">
        <v>425</v>
      </c>
      <c r="E17" s="274"/>
      <c r="F17" s="274"/>
      <c r="G17" s="274"/>
      <c r="H17" s="274"/>
      <c r="I17" s="274"/>
      <c r="J17" s="274"/>
    </row>
    <row r="35" spans="4:5" x14ac:dyDescent="0.2">
      <c r="D35" s="24" t="s">
        <v>429</v>
      </c>
    </row>
    <row r="37" spans="4:5" x14ac:dyDescent="0.2">
      <c r="D37" s="91"/>
      <c r="E37" s="117" t="s">
        <v>430</v>
      </c>
    </row>
    <row r="38" spans="4:5" ht="15" x14ac:dyDescent="0.25">
      <c r="D38" s="276" t="s">
        <v>210</v>
      </c>
      <c r="E38" s="117" t="s">
        <v>431</v>
      </c>
    </row>
  </sheetData>
  <dataValidations count="1">
    <dataValidation allowBlank="1" showInputMessage="1" showErrorMessage="1" promptTitle="Growing Degree Days" prompt="The model used to predict yield loss requires growing degree days to be estimated using a specific base temperature. Models tuned for degree days with a base temperature of 12 C, 15.5 C, and 15-32 C are available." sqref="D38" xr:uid="{F065EFC1-9F37-4F98-AA6D-4D90D606C75C}"/>
  </dataValidations>
  <hyperlinks>
    <hyperlink ref="D9" r:id="rId1" xr:uid="{B1B0C05C-33E9-4EF4-BED3-9E5FDA0628FC}"/>
    <hyperlink ref="D13" r:id="rId2" xr:uid="{373DBB6C-BAAA-45C1-896E-6627AD437E7A}"/>
  </hyperlinks>
  <pageMargins left="0.7" right="0.7" top="0.75" bottom="0.75" header="0.3" footer="0.3"/>
  <pageSetup paperSize="9"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R47"/>
  <sheetViews>
    <sheetView zoomScale="115" zoomScaleNormal="115" workbookViewId="0">
      <selection activeCell="C31" sqref="C31"/>
    </sheetView>
  </sheetViews>
  <sheetFormatPr defaultColWidth="9.140625" defaultRowHeight="12.75" x14ac:dyDescent="0.2"/>
  <cols>
    <col min="1" max="1" width="1.42578125" style="68" customWidth="1"/>
    <col min="2" max="2" width="42.28515625" style="69" customWidth="1"/>
    <col min="3" max="3" width="28" style="68" customWidth="1"/>
    <col min="4" max="4" width="18.28515625" style="68" customWidth="1"/>
    <col min="5" max="5" width="19.5703125" style="68" customWidth="1"/>
    <col min="6" max="6" width="11.28515625" style="68" customWidth="1"/>
    <col min="7" max="7" width="12.42578125" style="68" customWidth="1"/>
    <col min="8" max="8" width="89.28515625" style="68" customWidth="1"/>
    <col min="9" max="16384" width="9.140625" style="68"/>
  </cols>
  <sheetData>
    <row r="1" spans="2:18" ht="23.25" x14ac:dyDescent="0.35">
      <c r="B1" s="67" t="s">
        <v>275</v>
      </c>
    </row>
    <row r="2" spans="2:18" ht="12.75" customHeight="1" x14ac:dyDescent="0.35">
      <c r="B2" s="67"/>
      <c r="D2" s="69" t="s">
        <v>381</v>
      </c>
    </row>
    <row r="3" spans="2:18" x14ac:dyDescent="0.2">
      <c r="B3" s="69" t="s">
        <v>137</v>
      </c>
      <c r="C3" s="91" t="s">
        <v>432</v>
      </c>
      <c r="D3" s="139" t="s">
        <v>313</v>
      </c>
      <c r="E3" s="96">
        <v>550</v>
      </c>
      <c r="F3" s="68" t="s">
        <v>310</v>
      </c>
    </row>
    <row r="4" spans="2:18" x14ac:dyDescent="0.2">
      <c r="B4" s="69" t="s">
        <v>11</v>
      </c>
      <c r="C4" s="91">
        <v>10</v>
      </c>
      <c r="D4" s="139" t="s">
        <v>314</v>
      </c>
      <c r="E4" s="91">
        <v>12</v>
      </c>
      <c r="F4" s="68" t="s">
        <v>311</v>
      </c>
    </row>
    <row r="5" spans="2:18" x14ac:dyDescent="0.2">
      <c r="B5" s="69" t="s">
        <v>12</v>
      </c>
      <c r="C5" s="91">
        <v>5</v>
      </c>
      <c r="D5" s="139" t="s">
        <v>315</v>
      </c>
      <c r="E5" s="77">
        <f>E4*E3</f>
        <v>6600</v>
      </c>
      <c r="F5" s="68" t="s">
        <v>312</v>
      </c>
    </row>
    <row r="6" spans="2:18" x14ac:dyDescent="0.2">
      <c r="B6" s="76"/>
      <c r="D6" s="129"/>
    </row>
    <row r="7" spans="2:18" ht="31.5" x14ac:dyDescent="0.25">
      <c r="B7" s="141" t="s">
        <v>308</v>
      </c>
      <c r="C7" s="91" t="s">
        <v>306</v>
      </c>
      <c r="D7" s="142" t="s">
        <v>210</v>
      </c>
    </row>
    <row r="8" spans="2:18" ht="30" x14ac:dyDescent="0.25">
      <c r="B8" s="140" t="s">
        <v>140</v>
      </c>
      <c r="C8" s="91" t="s">
        <v>232</v>
      </c>
      <c r="D8" s="70" t="s">
        <v>231</v>
      </c>
    </row>
    <row r="9" spans="2:18" ht="15" x14ac:dyDescent="0.25">
      <c r="B9" s="140"/>
      <c r="C9" s="184"/>
      <c r="D9" s="70"/>
    </row>
    <row r="10" spans="2:18" ht="15" x14ac:dyDescent="0.25">
      <c r="B10" s="140" t="s">
        <v>336</v>
      </c>
      <c r="C10" s="91" t="s">
        <v>324</v>
      </c>
      <c r="D10" s="70"/>
    </row>
    <row r="12" spans="2:18" ht="15" x14ac:dyDescent="0.25">
      <c r="B12" s="83" t="s">
        <v>208</v>
      </c>
      <c r="C12" s="84"/>
      <c r="D12" s="190" t="str">
        <f>GrowthEqns!A19</f>
        <v>Enter GDD in base 15.5 deg C</v>
      </c>
      <c r="E12" s="85"/>
      <c r="F12" s="71"/>
      <c r="R12" s="72"/>
    </row>
    <row r="13" spans="2:18" ht="15" x14ac:dyDescent="0.25">
      <c r="B13" s="86"/>
      <c r="C13" s="92">
        <v>200</v>
      </c>
      <c r="D13" s="92">
        <v>100</v>
      </c>
      <c r="E13" s="93">
        <v>520</v>
      </c>
      <c r="F13" s="132">
        <f>IF(ChartData!A11="12",'Front Page'!C13,IF(ChartData!A11="15.5",'Front Page'!D13,'Front Page'!E13))</f>
        <v>100</v>
      </c>
    </row>
    <row r="14" spans="2:18" ht="15" x14ac:dyDescent="0.25">
      <c r="B14" s="87" t="s">
        <v>209</v>
      </c>
      <c r="E14" s="88"/>
    </row>
    <row r="15" spans="2:18" x14ac:dyDescent="0.2">
      <c r="B15" s="89"/>
      <c r="C15" s="94">
        <v>0</v>
      </c>
      <c r="D15" s="94">
        <v>0</v>
      </c>
      <c r="E15" s="95">
        <v>100</v>
      </c>
      <c r="F15" s="132">
        <f>IF(ChartData!A13="12",'Front Page'!C15,IF(ChartData!A11="15.5",'Front Page'!D15,'Front Page'!E15))</f>
        <v>0</v>
      </c>
    </row>
    <row r="17" spans="2:8" ht="18" x14ac:dyDescent="0.25">
      <c r="C17" s="73" t="s">
        <v>41</v>
      </c>
      <c r="D17" s="90">
        <f>Equations!K10</f>
        <v>1.6077561532018763E-2</v>
      </c>
    </row>
    <row r="19" spans="2:8" s="74" customFormat="1" x14ac:dyDescent="0.2">
      <c r="B19" s="69"/>
      <c r="C19" s="68"/>
      <c r="D19" s="68"/>
      <c r="E19" s="68"/>
    </row>
    <row r="20" spans="2:8" s="74" customFormat="1" x14ac:dyDescent="0.2">
      <c r="B20" s="69"/>
      <c r="C20" s="68"/>
      <c r="D20" s="68"/>
      <c r="E20" s="68"/>
    </row>
    <row r="21" spans="2:8" s="74" customFormat="1" ht="15.75" x14ac:dyDescent="0.25">
      <c r="B21" s="75" t="s">
        <v>211</v>
      </c>
      <c r="C21" s="68"/>
      <c r="D21" s="68"/>
      <c r="E21" s="68"/>
    </row>
    <row r="22" spans="2:8" s="74" customFormat="1" x14ac:dyDescent="0.2">
      <c r="C22" s="202" t="s">
        <v>133</v>
      </c>
      <c r="D22" s="70" t="s">
        <v>235</v>
      </c>
    </row>
    <row r="23" spans="2:8" s="74" customFormat="1" x14ac:dyDescent="0.2">
      <c r="B23" s="203" t="s">
        <v>136</v>
      </c>
      <c r="C23" s="203" t="s">
        <v>35</v>
      </c>
      <c r="D23" s="203" t="s">
        <v>37</v>
      </c>
      <c r="E23" s="203" t="s">
        <v>38</v>
      </c>
      <c r="F23" s="204"/>
    </row>
    <row r="24" spans="2:8" x14ac:dyDescent="0.2">
      <c r="B24" s="264" t="s">
        <v>67</v>
      </c>
      <c r="C24" s="205" t="str">
        <f>_xlfn.CONCAT(VLOOKUP(B24,Table1[[Active ingredient]:[Unit (L or kg)]],2,FALSE)," ",VLOOKUP(B24,Table1[[Active ingredient]:[Unit (L or kg)]],4,FALSE),"/ha")</f>
        <v>0.8 L/ha</v>
      </c>
      <c r="D24" s="206">
        <v>5</v>
      </c>
      <c r="E24" s="212">
        <f>VLOOKUP(B24,Table1[[Active ingredient]:[Unit (L or kg)]],3,FALSE)*'Front Page'!D24</f>
        <v>36.25</v>
      </c>
      <c r="F24" s="76" t="str">
        <f>IF(D24="","Actual rate must not be empty","")</f>
        <v/>
      </c>
    </row>
    <row r="25" spans="2:8" x14ac:dyDescent="0.2">
      <c r="B25" s="264" t="s">
        <v>88</v>
      </c>
      <c r="C25" s="205" t="str">
        <f>_xlfn.CONCAT(VLOOKUP(B25,Table1[],3,FALSE)," ",VLOOKUP(B25,Table1[],5,FALSE),"/ha")</f>
        <v>2.5 L/ha</v>
      </c>
      <c r="D25" s="206">
        <v>1</v>
      </c>
      <c r="E25" s="212">
        <f>VLOOKUP(B25,Table1[],4,FALSE)*'Front Page'!D25</f>
        <v>9.4</v>
      </c>
      <c r="F25" s="76" t="str">
        <f>IF(D25="","Actual rate must not be empty","")</f>
        <v/>
      </c>
      <c r="G25" s="74"/>
      <c r="H25" s="74"/>
    </row>
    <row r="26" spans="2:8" x14ac:dyDescent="0.2">
      <c r="B26" s="264" t="s">
        <v>414</v>
      </c>
      <c r="C26" s="205" t="s">
        <v>416</v>
      </c>
      <c r="D26" s="206">
        <v>1</v>
      </c>
      <c r="E26" s="143">
        <v>26</v>
      </c>
      <c r="F26" s="76" t="str">
        <f>IF(E26="","$/ha must not be empty","")</f>
        <v/>
      </c>
      <c r="G26" s="74"/>
    </row>
    <row r="27" spans="2:8" x14ac:dyDescent="0.2">
      <c r="D27" s="207" t="s">
        <v>406</v>
      </c>
      <c r="E27" s="269">
        <f>IF(ISNUMBER(SEARCH("active", C22)), E24, IF(ISNUMBER(SEARCH("product", C22)), E25, E26))</f>
        <v>9.4</v>
      </c>
      <c r="F27" s="271" t="s">
        <v>135</v>
      </c>
    </row>
    <row r="28" spans="2:8" ht="15" x14ac:dyDescent="0.25">
      <c r="E28" s="76"/>
      <c r="G28" s="130" t="s">
        <v>210</v>
      </c>
      <c r="H28" s="208" t="s">
        <v>288</v>
      </c>
    </row>
    <row r="29" spans="2:8" ht="15.75" thickBot="1" x14ac:dyDescent="0.3">
      <c r="B29" s="69" t="s">
        <v>417</v>
      </c>
      <c r="C29" s="96">
        <v>15</v>
      </c>
      <c r="D29" s="207" t="s">
        <v>418</v>
      </c>
      <c r="E29" s="270">
        <f>E27+C29</f>
        <v>24.4</v>
      </c>
      <c r="F29" s="271" t="s">
        <v>135</v>
      </c>
      <c r="G29" s="130" t="s">
        <v>210</v>
      </c>
      <c r="H29" s="208" t="s">
        <v>289</v>
      </c>
    </row>
    <row r="30" spans="2:8" ht="18.75" thickTop="1" x14ac:dyDescent="0.25">
      <c r="B30" s="256" t="s">
        <v>309</v>
      </c>
      <c r="C30" s="258">
        <f>Equations!C21</f>
        <v>3.6969696969696968E-3</v>
      </c>
      <c r="D30" s="97" t="s">
        <v>210</v>
      </c>
      <c r="G30" s="211" t="s">
        <v>203</v>
      </c>
      <c r="H30" s="267" t="str">
        <f>IF(ISNA(Equations!K14),"The threshold value is too large for normal analysis",Equations!K14)</f>
        <v>Potential value of lost yield is greater than weed control cost. Control weeds ASAP.</v>
      </c>
    </row>
    <row r="31" spans="2:8" ht="26.25" x14ac:dyDescent="0.25">
      <c r="B31" s="256" t="s">
        <v>343</v>
      </c>
      <c r="C31" s="257">
        <v>5.0000000000000001E-3</v>
      </c>
      <c r="D31" s="97" t="s">
        <v>210</v>
      </c>
      <c r="G31" s="210" t="s">
        <v>249</v>
      </c>
      <c r="H31" s="209" t="str">
        <f>Equations!K16</f>
        <v>The Australian Cotton HRMS suggests using 6 different modes of action every two years. Consider using a different option next time, to manage resistance.</v>
      </c>
    </row>
    <row r="32" spans="2:8" ht="15" customHeight="1" x14ac:dyDescent="0.2">
      <c r="B32" s="256" t="s">
        <v>409</v>
      </c>
      <c r="C32" s="265" t="s">
        <v>411</v>
      </c>
      <c r="F32" s="74"/>
      <c r="G32" s="69"/>
      <c r="H32" s="76" t="str">
        <f>IF(AND(Equations!T20="yes",ChartData!D69&gt;0),Equations!P29,"")</f>
        <v/>
      </c>
    </row>
    <row r="33" spans="2:6" x14ac:dyDescent="0.2">
      <c r="F33" s="74"/>
    </row>
    <row r="37" spans="2:6" x14ac:dyDescent="0.2">
      <c r="C37" s="78"/>
    </row>
    <row r="39" spans="2:6" x14ac:dyDescent="0.2">
      <c r="B39" s="68"/>
      <c r="E39" s="116"/>
    </row>
    <row r="40" spans="2:6" x14ac:dyDescent="0.2">
      <c r="B40" s="68"/>
    </row>
    <row r="41" spans="2:6" x14ac:dyDescent="0.2">
      <c r="B41" s="68"/>
    </row>
    <row r="42" spans="2:6" x14ac:dyDescent="0.2">
      <c r="B42" s="68"/>
    </row>
    <row r="43" spans="2:6" x14ac:dyDescent="0.2">
      <c r="C43" s="74"/>
    </row>
    <row r="44" spans="2:6" x14ac:dyDescent="0.2">
      <c r="C44" s="74"/>
    </row>
    <row r="46" spans="2:6" x14ac:dyDescent="0.2">
      <c r="C46" s="79"/>
    </row>
    <row r="47" spans="2:6" x14ac:dyDescent="0.2">
      <c r="C47" s="79"/>
    </row>
  </sheetData>
  <sheetProtection sheet="1" objects="1" selectLockedCells="1"/>
  <conditionalFormatting sqref="B24:F24 B26:F26">
    <cfRule type="expression" dxfId="8" priority="18">
      <formula>ISNUMBER(SEARCH("product", $C$22))</formula>
    </cfRule>
  </conditionalFormatting>
  <conditionalFormatting sqref="B24:F25">
    <cfRule type="expression" dxfId="7" priority="22">
      <formula>ISNUMBER(SEARCH("Manual", $C$22))</formula>
    </cfRule>
  </conditionalFormatting>
  <conditionalFormatting sqref="B25:F26">
    <cfRule type="expression" dxfId="6" priority="16">
      <formula>ISNUMBER(SEARCH("active", $C$22))</formula>
    </cfRule>
  </conditionalFormatting>
  <conditionalFormatting sqref="C13">
    <cfRule type="expression" dxfId="5" priority="6">
      <formula>C7="base 12 C"</formula>
    </cfRule>
  </conditionalFormatting>
  <conditionalFormatting sqref="C15">
    <cfRule type="expression" dxfId="4" priority="5">
      <formula>C7="base 12 C"</formula>
    </cfRule>
  </conditionalFormatting>
  <conditionalFormatting sqref="D13">
    <cfRule type="expression" dxfId="3" priority="2">
      <formula>C7="base 15.5 C"</formula>
    </cfRule>
  </conditionalFormatting>
  <conditionalFormatting sqref="D15">
    <cfRule type="expression" dxfId="2" priority="1">
      <formula>C7="base 15.5 C"</formula>
    </cfRule>
  </conditionalFormatting>
  <conditionalFormatting sqref="E13">
    <cfRule type="expression" dxfId="1" priority="4">
      <formula>C7="15.5-32 C"</formula>
    </cfRule>
  </conditionalFormatting>
  <conditionalFormatting sqref="E15">
    <cfRule type="expression" dxfId="0" priority="3">
      <formula>C7="15.5-32 C"</formula>
    </cfRule>
  </conditionalFormatting>
  <dataValidations count="11">
    <dataValidation allowBlank="1" showInputMessage="1" showErrorMessage="1" promptTitle="Write your own" prompt="Write in the name/s of your own herbicide application here" sqref="B26" xr:uid="{0A9CC0CB-0DB6-49B9-8B0B-CBB3D51BF451}"/>
    <dataValidation allowBlank="1" showInputMessage="1" showErrorMessage="1" promptTitle="Optional" prompt="Type in the rate of product applied (in L/ha or kg/ha)" sqref="D26" xr:uid="{A6FE5D94-35C7-4306-85F4-D899F03584D7}"/>
    <dataValidation allowBlank="1" showInputMessage="1" showErrorMessage="1" promptTitle="Important!" prompt="Type the cost of the herbicides applied here. Adjuvant costs can be accounted for in 'Application cost' below." sqref="E26" xr:uid="{6686AFA2-3599-4546-B97C-E9DCB1179949}"/>
    <dataValidation type="decimal" allowBlank="1" showInputMessage="1" showErrorMessage="1" errorTitle="Incorrect Input" error="Include only numbers in this cell (leave out the 'L/ha' or 'kg/ha')" promptTitle="Important!" prompt="Type the actual rate of product applied here (in L/ha or kg/ha). The price per hectare will be calculated from the database." sqref="D24:D25" xr:uid="{8CA86570-6E9D-415F-8C99-8B20442A14DC}">
      <formula1>0</formula1>
      <formula2>100</formula2>
    </dataValidation>
    <dataValidation allowBlank="1" showInputMessage="1" showErrorMessage="1" promptTitle="Information" prompt="Include here the cost of machinery operation, wages, adjuvants and water, as appropriate." sqref="C29" xr:uid="{AFE99491-6130-4472-A819-4AC6B6A8C8CE}"/>
    <dataValidation allowBlank="1" showInputMessage="1" showErrorMessage="1" promptTitle="Growing Degree Days" prompt="The model used to predict yield loss requires growing degree days to be estimated using a specific base temperature. Models tuned for degree days with a base temperature of 12 C, 15.5 C, and 15-32 C are available." sqref="D7" xr:uid="{497B3F58-99D3-490D-8ED4-C90BB32E91DD}"/>
    <dataValidation allowBlank="1" showInputMessage="1" showErrorMessage="1" promptTitle="Threshold calculation" prompt="This is the cost of the chosen weed control (including application costs) as a proportion of the anticipated yield value." sqref="D30" xr:uid="{3A78F703-0FAA-46F4-9938-6599038D243D}"/>
    <dataValidation allowBlank="1" showInputMessage="1" showErrorMessage="1" promptTitle="Critical Period Curves" prompt="The critical period for weed control is determined by the behaviour of two equations: the critical timing of weed removal (CTWR, blue curved line) and the critical weed free period (CWFP, red curved line)." sqref="G28" xr:uid="{1CDBB968-A4D5-49E9-90F7-E03615019AF1}"/>
    <dataValidation allowBlank="1" showInputMessage="1" showErrorMessage="1" promptTitle="Thresholds" prompt="The dotted orange line marks the current place in the season (the current growing degree days you entered). The vertical purple and blue lines show the start and end of the critical weed-free period." sqref="G29" xr:uid="{918A38C5-5ACC-4BC2-8AC0-33002E07EFCE}"/>
    <dataValidation allowBlank="1" showInputMessage="1" showErrorMessage="1" promptTitle="Manual Threshold" prompt="You can compare the predicted interaction with the calculated yield loss with an arbitrary threshold (eg 5% yield loss) by entering a number here. If you want to check a threshold less than 1, you must enter the number with a leading zero: 0.5, not .5" sqref="D31" xr:uid="{2AFE77EF-A1B8-4919-811C-28DC0D549DD3}"/>
    <dataValidation type="decimal" errorStyle="warning" allowBlank="1" showInputMessage="1" showErrorMessage="1" errorTitle="Manual yield threshold" error="Manual yield threshold value should be expressed in percent yield lost. Leave empty for 0%. Maximum value 100." sqref="C31" xr:uid="{1381CC43-7F75-44E6-9712-99BE9800260B}">
      <formula1>0</formula1>
      <formula2>100</formula2>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1F906943-60C4-45EC-904B-5901A42E8894}">
          <x14:formula1>
            <xm:f>Herbicides!$M$2:$M$4</xm:f>
          </x14:formula1>
          <xm:sqref>C22</xm:sqref>
        </x14:dataValidation>
        <x14:dataValidation type="list" allowBlank="1" showInputMessage="1" showErrorMessage="1" promptTitle="Choose an active ingredient" prompt="Choose a herbicide by its active ingredient/s" xr:uid="{AD64E127-A883-43FF-9FF3-5F519C3868F4}">
          <x14:formula1>
            <xm:f>Herbicides!$B$2:$B$35</xm:f>
          </x14:formula1>
          <xm:sqref>B24</xm:sqref>
        </x14:dataValidation>
        <x14:dataValidation type="list" allowBlank="1" showInputMessage="1" promptTitle="Choose by product" prompt="Choose a herbicide by product name" xr:uid="{2859F697-AE1C-4642-BFE0-289F299CF53C}">
          <x14:formula1>
            <xm:f>Herbicides!$A$38:$A$71</xm:f>
          </x14:formula1>
          <xm:sqref>B25</xm:sqref>
        </x14:dataValidation>
        <x14:dataValidation type="list" showInputMessage="1" showErrorMessage="1" xr:uid="{FE83A397-6555-4799-AB38-21B2FC45988F}">
          <x14:formula1>
            <xm:f>ChartData!$A$32:$A$34</xm:f>
          </x14:formula1>
          <xm:sqref>C8</xm:sqref>
        </x14:dataValidation>
        <x14:dataValidation type="list" showInputMessage="1" showErrorMessage="1" xr:uid="{1D74FECB-E975-4751-B1F4-EC45CAC6FAAB}">
          <x14:formula1>
            <xm:f>ChartData!$A$52:$A$54</xm:f>
          </x14:formula1>
          <xm:sqref>C7</xm:sqref>
        </x14:dataValidation>
        <x14:dataValidation type="list" showInputMessage="1" showErrorMessage="1" xr:uid="{DC6234EB-B0FE-447A-9C69-9FA9A86450BD}">
          <x14:formula1>
            <xm:f>GrowthEqns!$A$2:$A$9</xm:f>
          </x14:formula1>
          <xm:sqref>C10</xm:sqref>
        </x14:dataValidation>
        <x14:dataValidation type="list" allowBlank="1" showInputMessage="1" showErrorMessage="1" xr:uid="{8F6C3880-0571-4D3D-ABCD-54DC129B7691}">
          <x14:formula1>
            <xm:f>ChartData!$A$58:$A$59</xm:f>
          </x14:formula1>
          <xm:sqref>C32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9582B-3319-4358-8F8E-238B000FD954}">
  <dimension ref="A1:J39"/>
  <sheetViews>
    <sheetView workbookViewId="0">
      <selection activeCell="N34" sqref="N34"/>
    </sheetView>
  </sheetViews>
  <sheetFormatPr defaultRowHeight="12.75" x14ac:dyDescent="0.2"/>
  <cols>
    <col min="1" max="1" width="24.7109375" customWidth="1"/>
    <col min="3" max="3" width="16.85546875" customWidth="1"/>
    <col min="4" max="4" width="17.42578125" bestFit="1" customWidth="1"/>
    <col min="5" max="5" width="10.5703125" customWidth="1"/>
    <col min="6" max="7" width="9.5703125" bestFit="1" customWidth="1"/>
    <col min="9" max="9" width="9.140625" style="21"/>
  </cols>
  <sheetData>
    <row r="1" spans="1:10" x14ac:dyDescent="0.2">
      <c r="A1" s="173" t="s">
        <v>318</v>
      </c>
      <c r="D1" s="21" t="s">
        <v>327</v>
      </c>
      <c r="F1" s="117" t="s">
        <v>328</v>
      </c>
      <c r="G1" s="117" t="s">
        <v>329</v>
      </c>
      <c r="H1" s="117" t="s">
        <v>330</v>
      </c>
      <c r="I1" s="21" t="s">
        <v>340</v>
      </c>
      <c r="J1" s="21" t="s">
        <v>331</v>
      </c>
    </row>
    <row r="2" spans="1:10" x14ac:dyDescent="0.2">
      <c r="A2" s="173" t="s">
        <v>319</v>
      </c>
      <c r="D2" s="117" t="s">
        <v>338</v>
      </c>
      <c r="E2" s="117"/>
      <c r="F2" s="185">
        <v>-2.4631000000000002E-6</v>
      </c>
      <c r="G2" s="186">
        <v>9.2154999999999997E-3</v>
      </c>
      <c r="H2">
        <v>7.9474</v>
      </c>
      <c r="I2" s="21">
        <f>F2*$B$14^2+G2*$B$14+H2</f>
        <v>8.8443190000000005</v>
      </c>
    </row>
    <row r="3" spans="1:10" x14ac:dyDescent="0.2">
      <c r="A3" s="173" t="s">
        <v>320</v>
      </c>
      <c r="D3" s="117" t="s">
        <v>352</v>
      </c>
      <c r="E3" s="117"/>
      <c r="F3" s="185">
        <v>-4.3416000000000001E-6</v>
      </c>
      <c r="G3" s="185">
        <v>1.1997000000000001E-2</v>
      </c>
      <c r="H3">
        <v>4.8613</v>
      </c>
      <c r="I3" s="21">
        <f t="shared" ref="I3:I25" si="0">F3*$B$14^2+G3*$B$14+H3</f>
        <v>6.0175840000000003</v>
      </c>
    </row>
    <row r="4" spans="1:10" x14ac:dyDescent="0.2">
      <c r="A4" s="173" t="s">
        <v>321</v>
      </c>
      <c r="D4" s="117" t="s">
        <v>339</v>
      </c>
      <c r="E4" s="117"/>
      <c r="F4" s="185">
        <v>-4.0902000000000002E-6</v>
      </c>
      <c r="G4" s="185">
        <v>1.0586E-2</v>
      </c>
      <c r="H4">
        <v>4.8391000000000002</v>
      </c>
      <c r="I4" s="21">
        <f t="shared" si="0"/>
        <v>5.8567980000000004</v>
      </c>
    </row>
    <row r="5" spans="1:10" x14ac:dyDescent="0.2">
      <c r="A5" s="173" t="s">
        <v>322</v>
      </c>
      <c r="D5" s="117" t="s">
        <v>341</v>
      </c>
      <c r="F5" s="185">
        <v>-5.8945000000000001E-6</v>
      </c>
      <c r="G5" s="185">
        <v>1.5802E-2</v>
      </c>
      <c r="H5">
        <v>3.9285000000000001</v>
      </c>
      <c r="I5" s="21">
        <f t="shared" si="0"/>
        <v>5.4497549999999997</v>
      </c>
    </row>
    <row r="6" spans="1:10" x14ac:dyDescent="0.2">
      <c r="A6" s="173" t="s">
        <v>323</v>
      </c>
      <c r="D6" s="117" t="s">
        <v>353</v>
      </c>
      <c r="F6" s="185">
        <v>-1.2539E-5</v>
      </c>
      <c r="G6" s="185">
        <v>2.2027000000000001E-2</v>
      </c>
      <c r="H6">
        <v>1.6323000000000001</v>
      </c>
      <c r="I6" s="21">
        <f t="shared" si="0"/>
        <v>3.7096100000000005</v>
      </c>
    </row>
    <row r="7" spans="1:10" x14ac:dyDescent="0.2">
      <c r="A7" s="173" t="s">
        <v>324</v>
      </c>
      <c r="D7" s="117" t="s">
        <v>342</v>
      </c>
      <c r="F7" s="185">
        <v>-1.2367E-5</v>
      </c>
      <c r="G7" s="185">
        <v>2.0426E-2</v>
      </c>
      <c r="H7">
        <v>1.7444</v>
      </c>
      <c r="I7" s="21">
        <f t="shared" si="0"/>
        <v>3.6633300000000002</v>
      </c>
    </row>
    <row r="8" spans="1:10" x14ac:dyDescent="0.2">
      <c r="A8" s="173" t="s">
        <v>325</v>
      </c>
      <c r="D8" s="117" t="s">
        <v>344</v>
      </c>
      <c r="F8" s="185">
        <v>-1.0856000000000001E-5</v>
      </c>
      <c r="G8" s="185">
        <v>2.0865000000000002E-2</v>
      </c>
      <c r="H8">
        <v>2.2145000000000001</v>
      </c>
      <c r="I8" s="21">
        <f t="shared" si="0"/>
        <v>4.1924400000000004</v>
      </c>
    </row>
    <row r="9" spans="1:10" x14ac:dyDescent="0.2">
      <c r="A9" s="173" t="s">
        <v>326</v>
      </c>
      <c r="D9" s="117" t="s">
        <v>354</v>
      </c>
      <c r="F9" s="185">
        <v>-2.5320000000000002E-5</v>
      </c>
      <c r="G9" s="185">
        <v>2.9409999999999999E-2</v>
      </c>
      <c r="H9" s="185">
        <v>0.52141000000000004</v>
      </c>
      <c r="I9" s="21">
        <f t="shared" si="0"/>
        <v>3.2092099999999997</v>
      </c>
    </row>
    <row r="10" spans="1:10" x14ac:dyDescent="0.2">
      <c r="D10" s="117" t="s">
        <v>345</v>
      </c>
      <c r="F10" s="185">
        <v>-2.5066999999999999E-5</v>
      </c>
      <c r="G10" s="185">
        <v>2.768E-2</v>
      </c>
      <c r="H10" s="185">
        <v>0.65847</v>
      </c>
      <c r="I10" s="21">
        <f t="shared" si="0"/>
        <v>3.1757999999999997</v>
      </c>
    </row>
    <row r="11" spans="1:10" x14ac:dyDescent="0.2">
      <c r="A11" s="187" t="s">
        <v>335</v>
      </c>
      <c r="B11" s="188" t="str">
        <f>'Front Page'!C10</f>
        <v>Murray/Murrumbidgee</v>
      </c>
      <c r="D11" s="117" t="s">
        <v>346</v>
      </c>
      <c r="F11" s="185">
        <v>-4.8154999999999999E-6</v>
      </c>
      <c r="G11" s="185">
        <v>1.2951000000000001E-2</v>
      </c>
      <c r="H11">
        <v>5.5662000000000003</v>
      </c>
      <c r="I11" s="21">
        <f t="shared" si="0"/>
        <v>6.8131450000000005</v>
      </c>
    </row>
    <row r="12" spans="1:10" x14ac:dyDescent="0.2">
      <c r="A12" s="187" t="s">
        <v>332</v>
      </c>
      <c r="B12" s="188" t="str">
        <f>ChartData!A11</f>
        <v>15.5</v>
      </c>
      <c r="D12" s="117" t="s">
        <v>355</v>
      </c>
      <c r="F12" s="185">
        <v>-9.4924000000000008E-6</v>
      </c>
      <c r="G12" s="185">
        <v>1.7351999999999999E-2</v>
      </c>
      <c r="H12">
        <v>2.9131</v>
      </c>
      <c r="I12" s="21">
        <f t="shared" si="0"/>
        <v>4.5533760000000001</v>
      </c>
    </row>
    <row r="13" spans="1:10" x14ac:dyDescent="0.2">
      <c r="A13" s="187" t="s">
        <v>337</v>
      </c>
      <c r="B13" s="188" t="str">
        <f>_xlfn.CONCAT(B11,B12)</f>
        <v>Murray/Murrumbidgee15.5</v>
      </c>
      <c r="D13" s="117" t="s">
        <v>347</v>
      </c>
      <c r="F13" s="185">
        <v>-9.2189000000000008E-6</v>
      </c>
      <c r="G13" s="185">
        <v>1.6323000000000001E-2</v>
      </c>
      <c r="H13">
        <v>2.9621</v>
      </c>
      <c r="I13" s="21">
        <f t="shared" si="0"/>
        <v>4.502211</v>
      </c>
    </row>
    <row r="14" spans="1:10" x14ac:dyDescent="0.2">
      <c r="A14" s="187" t="s">
        <v>334</v>
      </c>
      <c r="B14" s="188">
        <f>ChartData!B72</f>
        <v>100</v>
      </c>
      <c r="D14" s="117" t="s">
        <v>348</v>
      </c>
      <c r="F14" s="185">
        <v>-6.5760999999999996E-6</v>
      </c>
      <c r="G14" s="185">
        <v>1.7583999999999999E-2</v>
      </c>
      <c r="H14">
        <v>4.2054</v>
      </c>
      <c r="I14" s="21">
        <f t="shared" si="0"/>
        <v>5.8980389999999998</v>
      </c>
    </row>
    <row r="15" spans="1:10" x14ac:dyDescent="0.2">
      <c r="A15" s="187" t="s">
        <v>333</v>
      </c>
      <c r="B15" s="189">
        <f>VLOOKUP(B13,D:I,6,FALSE)</f>
        <v>3.0757800000000004</v>
      </c>
      <c r="D15" s="117" t="s">
        <v>356</v>
      </c>
      <c r="F15" s="185">
        <v>-1.2551999999999999E-5</v>
      </c>
      <c r="G15" s="185">
        <v>2.3321999999999999E-2</v>
      </c>
      <c r="H15">
        <v>1.8313999999999999</v>
      </c>
      <c r="I15" s="21">
        <f t="shared" si="0"/>
        <v>4.0380799999999999</v>
      </c>
    </row>
    <row r="16" spans="1:10" x14ac:dyDescent="0.2">
      <c r="A16" s="187" t="s">
        <v>379</v>
      </c>
      <c r="B16" t="str">
        <f>IF(ISNUMBER(SEARCH("Multi",'Front Page'!C8)),"Mixed",IF(ISNUMBER(SEARCH("Large",'Front Page'!C8)),"Large","Small"))</f>
        <v>Large</v>
      </c>
      <c r="D16" s="117" t="s">
        <v>349</v>
      </c>
      <c r="F16" s="185">
        <v>-1.2199E-5</v>
      </c>
      <c r="G16" s="185">
        <v>2.1374000000000001E-2</v>
      </c>
      <c r="H16">
        <v>1.9933000000000001</v>
      </c>
      <c r="I16" s="21">
        <f t="shared" si="0"/>
        <v>4.0087100000000007</v>
      </c>
    </row>
    <row r="17" spans="1:9" x14ac:dyDescent="0.2">
      <c r="D17" s="117" t="s">
        <v>350</v>
      </c>
      <c r="F17" s="185">
        <v>-9.1316999999999993E-6</v>
      </c>
      <c r="G17" s="185">
        <v>2.0868999999999999E-2</v>
      </c>
      <c r="H17">
        <v>2.3868</v>
      </c>
      <c r="I17" s="21">
        <f t="shared" si="0"/>
        <v>4.3823829999999999</v>
      </c>
    </row>
    <row r="18" spans="1:9" x14ac:dyDescent="0.2">
      <c r="A18" s="117" t="s">
        <v>364</v>
      </c>
      <c r="D18" s="117" t="s">
        <v>357</v>
      </c>
      <c r="F18" s="185">
        <v>-1.9323000000000001E-5</v>
      </c>
      <c r="G18" s="185">
        <v>2.8882000000000001E-2</v>
      </c>
      <c r="H18" s="185">
        <v>0.38080999999999998</v>
      </c>
      <c r="I18" s="21">
        <f t="shared" si="0"/>
        <v>3.0757800000000004</v>
      </c>
    </row>
    <row r="19" spans="1:9" x14ac:dyDescent="0.2">
      <c r="A19" t="str">
        <f>_xlfn.CONCAT("Enter GDD in base ",B12," deg C")</f>
        <v>Enter GDD in base 15.5 deg C</v>
      </c>
      <c r="D19" s="117" t="s">
        <v>351</v>
      </c>
      <c r="F19" s="185">
        <v>-1.7951000000000001E-5</v>
      </c>
      <c r="G19" s="185">
        <v>2.4042999999999998E-2</v>
      </c>
      <c r="H19" s="185">
        <v>0.99585000000000001</v>
      </c>
      <c r="I19" s="21">
        <f t="shared" si="0"/>
        <v>3.2206399999999995</v>
      </c>
    </row>
    <row r="20" spans="1:9" x14ac:dyDescent="0.2">
      <c r="D20" s="117" t="s">
        <v>358</v>
      </c>
      <c r="F20" s="185">
        <v>9.6572000000000005E-7</v>
      </c>
      <c r="G20" s="185">
        <v>-2.8292999999999999E-3</v>
      </c>
      <c r="H20" s="185">
        <v>18.239999999999998</v>
      </c>
      <c r="I20" s="21">
        <f t="shared" si="0"/>
        <v>17.966727199999998</v>
      </c>
    </row>
    <row r="21" spans="1:9" x14ac:dyDescent="0.2">
      <c r="D21" s="117" t="s">
        <v>359</v>
      </c>
      <c r="F21" s="185">
        <v>1.5453000000000001E-6</v>
      </c>
      <c r="G21" s="185">
        <v>-3.5869999999999999E-3</v>
      </c>
      <c r="H21" s="185">
        <v>14.753</v>
      </c>
      <c r="I21" s="21">
        <f t="shared" si="0"/>
        <v>14.409753</v>
      </c>
    </row>
    <row r="22" spans="1:9" x14ac:dyDescent="0.2">
      <c r="D22" s="117" t="s">
        <v>360</v>
      </c>
      <c r="F22" s="185">
        <v>1.5288E-7</v>
      </c>
      <c r="G22" s="185">
        <v>-7.5905999999999999E-4</v>
      </c>
      <c r="H22" s="185">
        <v>12.287000000000001</v>
      </c>
      <c r="I22" s="21">
        <f t="shared" si="0"/>
        <v>12.2126228</v>
      </c>
    </row>
    <row r="23" spans="1:9" x14ac:dyDescent="0.2">
      <c r="D23" s="117" t="s">
        <v>361</v>
      </c>
      <c r="F23" s="185">
        <v>-2.6703999999999999E-7</v>
      </c>
      <c r="G23" s="185">
        <v>-1.1191E-3</v>
      </c>
      <c r="H23" s="185">
        <v>17.984999999999999</v>
      </c>
      <c r="I23" s="21">
        <f t="shared" si="0"/>
        <v>17.870419599999998</v>
      </c>
    </row>
    <row r="24" spans="1:9" x14ac:dyDescent="0.2">
      <c r="D24" s="117" t="s">
        <v>362</v>
      </c>
      <c r="F24" s="185">
        <v>-5.1893999999999996E-7</v>
      </c>
      <c r="G24" s="185">
        <v>-1.2719999999999999E-3</v>
      </c>
      <c r="H24" s="185">
        <v>14.429</v>
      </c>
      <c r="I24" s="21">
        <f t="shared" si="0"/>
        <v>14.296610600000001</v>
      </c>
    </row>
    <row r="25" spans="1:9" x14ac:dyDescent="0.2">
      <c r="D25" s="117" t="s">
        <v>363</v>
      </c>
      <c r="F25" s="185">
        <v>-1.0259E-6</v>
      </c>
      <c r="G25" s="185">
        <v>-3.5824000000000001E-4</v>
      </c>
      <c r="H25" s="185">
        <v>12.867000000000001</v>
      </c>
      <c r="I25" s="21">
        <f t="shared" si="0"/>
        <v>12.820917000000001</v>
      </c>
    </row>
    <row r="28" spans="1:9" x14ac:dyDescent="0.2">
      <c r="A28" s="21" t="s">
        <v>365</v>
      </c>
      <c r="B28" s="21" t="s">
        <v>79</v>
      </c>
      <c r="C28" s="21" t="s">
        <v>366</v>
      </c>
      <c r="D28" s="21" t="s">
        <v>367</v>
      </c>
      <c r="E28" s="117" t="s">
        <v>375</v>
      </c>
    </row>
    <row r="29" spans="1:9" ht="15" x14ac:dyDescent="0.25">
      <c r="A29" t="s">
        <v>368</v>
      </c>
      <c r="B29" s="191">
        <v>1.0449999999999999E-2</v>
      </c>
      <c r="C29" s="191">
        <v>-6.4790000000000004E-3</v>
      </c>
      <c r="D29" s="191">
        <v>583.70000000000005</v>
      </c>
      <c r="E29" s="194">
        <f>B29/(1+EXP(-C29*($B$36-D29)))</f>
        <v>1.0013914403983885E-2</v>
      </c>
      <c r="F29" s="193" t="s">
        <v>376</v>
      </c>
    </row>
    <row r="30" spans="1:9" ht="15" x14ac:dyDescent="0.25">
      <c r="A30" t="s">
        <v>369</v>
      </c>
      <c r="B30" s="192">
        <v>9.8359999999999993E-3</v>
      </c>
      <c r="C30" s="192">
        <v>-1.3743999999999999E-2</v>
      </c>
      <c r="D30" s="192">
        <v>497.673787</v>
      </c>
      <c r="E30" s="194">
        <f t="shared" ref="E30:E32" si="1">B30/(1+EXP(-C30*($B$36-D30)))</f>
        <v>9.7945720773747573E-3</v>
      </c>
    </row>
    <row r="31" spans="1:9" ht="15" x14ac:dyDescent="0.25">
      <c r="A31" t="s">
        <v>370</v>
      </c>
      <c r="B31" s="191">
        <v>2.0500000000000001E-2</v>
      </c>
      <c r="C31" s="191">
        <v>-8.0820000000000006E-3</v>
      </c>
      <c r="D31" s="191">
        <v>552.4</v>
      </c>
      <c r="E31" s="194">
        <f t="shared" si="1"/>
        <v>1.9983857292960393E-2</v>
      </c>
    </row>
    <row r="32" spans="1:9" ht="15" x14ac:dyDescent="0.25">
      <c r="A32" t="s">
        <v>371</v>
      </c>
      <c r="B32" s="191">
        <v>2.0070000000000001E-2</v>
      </c>
      <c r="C32" s="191">
        <v>-1.294E-2</v>
      </c>
      <c r="D32" s="191">
        <v>445.2</v>
      </c>
      <c r="E32" s="194">
        <f t="shared" si="1"/>
        <v>1.9842152652641516E-2</v>
      </c>
    </row>
    <row r="33" spans="1:6" ht="15" x14ac:dyDescent="0.25">
      <c r="A33" s="117" t="s">
        <v>372</v>
      </c>
      <c r="B33" s="191">
        <v>1.6670000000000001E-2</v>
      </c>
      <c r="C33" s="192">
        <v>4.4080000000000004</v>
      </c>
      <c r="D33" s="191">
        <v>523.4</v>
      </c>
      <c r="E33" s="194">
        <f>B33/(1+($B$36/D33)^C33)</f>
        <v>1.6658701465523874E-2</v>
      </c>
      <c r="F33" s="193" t="s">
        <v>377</v>
      </c>
    </row>
    <row r="34" spans="1:6" ht="15" x14ac:dyDescent="0.25">
      <c r="A34" s="117" t="s">
        <v>373</v>
      </c>
      <c r="B34" s="191">
        <v>1.6590000000000001E-2</v>
      </c>
      <c r="C34" s="192">
        <v>4.6289999999999996</v>
      </c>
      <c r="D34" s="191">
        <v>418</v>
      </c>
      <c r="E34" s="194">
        <f>B34/(1+($B$36/D34)^C34)</f>
        <v>1.6567927923727813E-2</v>
      </c>
    </row>
    <row r="36" spans="1:6" x14ac:dyDescent="0.2">
      <c r="A36" t="s">
        <v>374</v>
      </c>
      <c r="B36">
        <f>'Front Page'!F13-'Front Page'!F15</f>
        <v>100</v>
      </c>
      <c r="C36" t="s">
        <v>31</v>
      </c>
    </row>
    <row r="37" spans="1:6" x14ac:dyDescent="0.2">
      <c r="A37" s="117" t="s">
        <v>378</v>
      </c>
      <c r="B37" s="195">
        <f>VLOOKUP(D39,A29:E34,5)</f>
        <v>9.7945720773747573E-3</v>
      </c>
    </row>
    <row r="39" spans="1:6" x14ac:dyDescent="0.2">
      <c r="A39" s="117" t="s">
        <v>380</v>
      </c>
      <c r="B39" t="str">
        <f>B16</f>
        <v>Large</v>
      </c>
      <c r="C39" t="str">
        <f>IF(B12="12","12","15")</f>
        <v>15</v>
      </c>
      <c r="D39" s="21" t="str">
        <f>_xlfn.CONCAT(B39," ",C39)</f>
        <v>Large 15</v>
      </c>
    </row>
  </sheetData>
  <phoneticPr fontId="3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A5497-8610-403C-A91C-255F8878A2D1}">
  <dimension ref="A1:M71"/>
  <sheetViews>
    <sheetView workbookViewId="0">
      <selection activeCell="H52" sqref="H52"/>
    </sheetView>
  </sheetViews>
  <sheetFormatPr defaultRowHeight="12.75" x14ac:dyDescent="0.2"/>
  <cols>
    <col min="1" max="1" width="21.7109375" customWidth="1"/>
    <col min="2" max="2" width="18.5703125" customWidth="1"/>
    <col min="3" max="3" width="13.85546875" customWidth="1"/>
    <col min="4" max="4" width="18" customWidth="1"/>
    <col min="5" max="5" width="14.7109375" customWidth="1"/>
    <col min="8" max="8" width="19.42578125" bestFit="1" customWidth="1"/>
    <col min="13" max="13" width="19.140625" customWidth="1"/>
  </cols>
  <sheetData>
    <row r="1" spans="1:13" x14ac:dyDescent="0.2">
      <c r="A1" s="21" t="s">
        <v>34</v>
      </c>
      <c r="B1" s="21" t="s">
        <v>50</v>
      </c>
      <c r="C1" s="21" t="s">
        <v>35</v>
      </c>
      <c r="D1" s="21" t="s">
        <v>78</v>
      </c>
      <c r="E1" s="21" t="s">
        <v>36</v>
      </c>
      <c r="F1" s="21" t="s">
        <v>165</v>
      </c>
      <c r="H1" s="21" t="s">
        <v>118</v>
      </c>
      <c r="M1" s="14" t="s">
        <v>131</v>
      </c>
    </row>
    <row r="2" spans="1:13" x14ac:dyDescent="0.2">
      <c r="A2" t="s">
        <v>117</v>
      </c>
      <c r="B2" t="s">
        <v>75</v>
      </c>
      <c r="C2">
        <v>1</v>
      </c>
      <c r="D2" s="22">
        <v>9</v>
      </c>
      <c r="E2" t="s">
        <v>79</v>
      </c>
      <c r="F2" s="34">
        <f>Table1[[#This Row],[Typical rate]]*Table1[[#This Row],[Price per unit ($)]]</f>
        <v>9</v>
      </c>
      <c r="H2" t="s">
        <v>51</v>
      </c>
      <c r="I2" t="s">
        <v>122</v>
      </c>
      <c r="M2" s="14" t="s">
        <v>132</v>
      </c>
    </row>
    <row r="3" spans="1:13" x14ac:dyDescent="0.2">
      <c r="A3" t="s">
        <v>97</v>
      </c>
      <c r="B3" t="s">
        <v>72</v>
      </c>
      <c r="C3">
        <v>0.13</v>
      </c>
      <c r="D3" s="22">
        <v>119.78</v>
      </c>
      <c r="E3" t="s">
        <v>82</v>
      </c>
      <c r="F3" s="34">
        <f>Table1[[#This Row],[Typical rate]]*Table1[[#This Row],[Price per unit ($)]]</f>
        <v>15.571400000000001</v>
      </c>
      <c r="H3" t="s">
        <v>74</v>
      </c>
      <c r="I3" t="s">
        <v>119</v>
      </c>
      <c r="M3" s="14" t="s">
        <v>133</v>
      </c>
    </row>
    <row r="4" spans="1:13" x14ac:dyDescent="0.2">
      <c r="A4" t="s">
        <v>83</v>
      </c>
      <c r="B4" t="s">
        <v>62</v>
      </c>
      <c r="C4">
        <v>8.5000000000000006E-2</v>
      </c>
      <c r="D4" s="22">
        <v>178.8</v>
      </c>
      <c r="E4" t="s">
        <v>79</v>
      </c>
      <c r="F4" s="34">
        <f>Table1[[#This Row],[Typical rate]]*Table1[[#This Row],[Price per unit ($)]]</f>
        <v>15.198000000000002</v>
      </c>
      <c r="H4" t="s">
        <v>120</v>
      </c>
      <c r="I4" t="s">
        <v>121</v>
      </c>
      <c r="M4" s="14" t="s">
        <v>134</v>
      </c>
    </row>
    <row r="5" spans="1:13" x14ac:dyDescent="0.2">
      <c r="A5" t="s">
        <v>108</v>
      </c>
      <c r="B5" t="s">
        <v>71</v>
      </c>
      <c r="C5">
        <v>0.3</v>
      </c>
      <c r="D5" s="22">
        <v>9.5299999999999994</v>
      </c>
      <c r="E5" t="s">
        <v>79</v>
      </c>
      <c r="F5" s="34">
        <f>Table1[[#This Row],[Typical rate]]*Table1[[#This Row],[Price per unit ($)]]</f>
        <v>2.8589999999999995</v>
      </c>
      <c r="H5" t="s">
        <v>69</v>
      </c>
      <c r="I5" t="s">
        <v>123</v>
      </c>
    </row>
    <row r="6" spans="1:13" x14ac:dyDescent="0.2">
      <c r="A6" t="s">
        <v>126</v>
      </c>
      <c r="B6" t="s">
        <v>59</v>
      </c>
      <c r="C6">
        <v>0.18</v>
      </c>
      <c r="D6" s="22">
        <v>30</v>
      </c>
      <c r="E6" t="s">
        <v>79</v>
      </c>
      <c r="F6" s="34">
        <f>Table1[[#This Row],[Typical rate]]*Table1[[#This Row],[Price per unit ($)]]</f>
        <v>5.3999999999999995</v>
      </c>
      <c r="H6" t="s">
        <v>70</v>
      </c>
      <c r="I6" t="s">
        <v>125</v>
      </c>
    </row>
    <row r="7" spans="1:13" x14ac:dyDescent="0.2">
      <c r="A7" t="s">
        <v>93</v>
      </c>
      <c r="B7" t="s">
        <v>92</v>
      </c>
      <c r="C7">
        <v>1</v>
      </c>
      <c r="D7" s="22">
        <v>24</v>
      </c>
      <c r="E7" t="s">
        <v>79</v>
      </c>
      <c r="F7" s="34">
        <f>Table1[[#This Row],[Typical rate]]*Table1[[#This Row],[Price per unit ($)]]</f>
        <v>24</v>
      </c>
      <c r="H7" t="s">
        <v>126</v>
      </c>
      <c r="I7" t="s">
        <v>128</v>
      </c>
    </row>
    <row r="8" spans="1:13" x14ac:dyDescent="0.2">
      <c r="A8" t="s">
        <v>90</v>
      </c>
      <c r="B8" t="s">
        <v>89</v>
      </c>
      <c r="C8">
        <v>1</v>
      </c>
      <c r="D8" s="22">
        <v>20.5</v>
      </c>
      <c r="E8" t="s">
        <v>79</v>
      </c>
      <c r="F8" s="34">
        <f>Table1[[#This Row],[Typical rate]]*Table1[[#This Row],[Price per unit ($)]]</f>
        <v>20.5</v>
      </c>
      <c r="H8" t="s">
        <v>129</v>
      </c>
      <c r="I8" t="s">
        <v>130</v>
      </c>
    </row>
    <row r="9" spans="1:13" x14ac:dyDescent="0.2">
      <c r="A9" t="s">
        <v>94</v>
      </c>
      <c r="B9" t="s">
        <v>65</v>
      </c>
      <c r="C9">
        <v>0.5</v>
      </c>
      <c r="D9" s="22">
        <v>17.03</v>
      </c>
      <c r="E9" t="s">
        <v>82</v>
      </c>
      <c r="F9" s="34">
        <f>Table1[[#This Row],[Typical rate]]*Table1[[#This Row],[Price per unit ($)]]</f>
        <v>8.5150000000000006</v>
      </c>
    </row>
    <row r="10" spans="1:13" x14ac:dyDescent="0.2">
      <c r="A10" t="s">
        <v>111</v>
      </c>
      <c r="B10" t="s">
        <v>53</v>
      </c>
      <c r="C10">
        <v>0.03</v>
      </c>
      <c r="D10" s="22">
        <v>176.13</v>
      </c>
      <c r="E10" t="s">
        <v>82</v>
      </c>
      <c r="F10" s="34">
        <f>Table1[[#This Row],[Typical rate]]*Table1[[#This Row],[Price per unit ($)]]</f>
        <v>5.2839</v>
      </c>
    </row>
    <row r="11" spans="1:13" x14ac:dyDescent="0.2">
      <c r="A11" t="s">
        <v>107</v>
      </c>
      <c r="B11" t="s">
        <v>60</v>
      </c>
      <c r="C11">
        <v>0.45</v>
      </c>
      <c r="D11" s="22">
        <v>25.5</v>
      </c>
      <c r="E11" t="s">
        <v>79</v>
      </c>
      <c r="F11" s="34">
        <f>Table1[[#This Row],[Typical rate]]*Table1[[#This Row],[Price per unit ($)]]</f>
        <v>11.475</v>
      </c>
    </row>
    <row r="12" spans="1:13" x14ac:dyDescent="0.2">
      <c r="A12" s="14" t="s">
        <v>77</v>
      </c>
      <c r="B12" t="s">
        <v>58</v>
      </c>
      <c r="C12">
        <v>3.75</v>
      </c>
      <c r="D12" s="22">
        <v>11.5</v>
      </c>
      <c r="E12" t="s">
        <v>79</v>
      </c>
      <c r="F12" s="34">
        <f>Table1[[#This Row],[Typical rate]]*Table1[[#This Row],[Price per unit ($)]]</f>
        <v>43.125</v>
      </c>
    </row>
    <row r="13" spans="1:13" x14ac:dyDescent="0.2">
      <c r="A13" t="s">
        <v>99</v>
      </c>
      <c r="B13" t="s">
        <v>58</v>
      </c>
      <c r="C13">
        <v>1.5</v>
      </c>
      <c r="D13" s="22">
        <v>19.73</v>
      </c>
      <c r="E13" t="s">
        <v>79</v>
      </c>
      <c r="F13" s="34">
        <f>Table1[[#This Row],[Typical rate]]*Table1[[#This Row],[Price per unit ($)]]</f>
        <v>29.594999999999999</v>
      </c>
    </row>
    <row r="14" spans="1:13" x14ac:dyDescent="0.2">
      <c r="A14" t="s">
        <v>91</v>
      </c>
      <c r="B14" t="s">
        <v>63</v>
      </c>
      <c r="C14">
        <v>1.2</v>
      </c>
      <c r="D14" s="22">
        <v>6.98</v>
      </c>
      <c r="E14" t="s">
        <v>79</v>
      </c>
      <c r="F14" s="34">
        <f>Table1[[#This Row],[Typical rate]]*Table1[[#This Row],[Price per unit ($)]]</f>
        <v>8.3759999999999994</v>
      </c>
    </row>
    <row r="15" spans="1:13" x14ac:dyDescent="0.2">
      <c r="A15" t="s">
        <v>101</v>
      </c>
      <c r="B15" t="s">
        <v>63</v>
      </c>
      <c r="C15">
        <v>1.1499999999999999</v>
      </c>
      <c r="D15" s="22">
        <v>6.6</v>
      </c>
      <c r="E15" t="s">
        <v>79</v>
      </c>
      <c r="F15" s="34">
        <f>Table1[[#This Row],[Typical rate]]*Table1[[#This Row],[Price per unit ($)]]</f>
        <v>7.589999999999999</v>
      </c>
    </row>
    <row r="16" spans="1:13" x14ac:dyDescent="0.2">
      <c r="A16" t="s">
        <v>103</v>
      </c>
      <c r="B16" t="s">
        <v>63</v>
      </c>
      <c r="C16">
        <v>1.3</v>
      </c>
      <c r="D16" s="22">
        <v>9.73</v>
      </c>
      <c r="E16" t="s">
        <v>82</v>
      </c>
      <c r="F16" s="34">
        <f>Table1[[#This Row],[Typical rate]]*Table1[[#This Row],[Price per unit ($)]]</f>
        <v>12.649000000000001</v>
      </c>
    </row>
    <row r="17" spans="1:6" x14ac:dyDescent="0.2">
      <c r="A17" t="s">
        <v>104</v>
      </c>
      <c r="B17" t="s">
        <v>63</v>
      </c>
      <c r="C17">
        <v>1</v>
      </c>
      <c r="D17" s="22">
        <v>6.95</v>
      </c>
      <c r="E17" t="s">
        <v>79</v>
      </c>
      <c r="F17" s="34">
        <f>Table1[[#This Row],[Typical rate]]*Table1[[#This Row],[Price per unit ($)]]</f>
        <v>6.95</v>
      </c>
    </row>
    <row r="18" spans="1:6" x14ac:dyDescent="0.2">
      <c r="A18" t="s">
        <v>116</v>
      </c>
      <c r="B18" t="s">
        <v>63</v>
      </c>
      <c r="C18">
        <v>1.5</v>
      </c>
      <c r="D18" s="22">
        <v>6.1</v>
      </c>
      <c r="E18" t="s">
        <v>79</v>
      </c>
      <c r="F18" s="34">
        <f>Table1[[#This Row],[Typical rate]]*Table1[[#This Row],[Price per unit ($)]]</f>
        <v>9.1499999999999986</v>
      </c>
    </row>
    <row r="19" spans="1:6" x14ac:dyDescent="0.2">
      <c r="A19" t="s">
        <v>113</v>
      </c>
      <c r="B19" t="s">
        <v>73</v>
      </c>
      <c r="C19">
        <v>0.75</v>
      </c>
      <c r="D19" s="22">
        <v>46</v>
      </c>
      <c r="E19" t="s">
        <v>79</v>
      </c>
      <c r="F19" s="34">
        <f>Table1[[#This Row],[Typical rate]]*Table1[[#This Row],[Price per unit ($)]]</f>
        <v>34.5</v>
      </c>
    </row>
    <row r="20" spans="1:6" x14ac:dyDescent="0.2">
      <c r="A20" t="s">
        <v>86</v>
      </c>
      <c r="B20" t="s">
        <v>56</v>
      </c>
      <c r="C20">
        <v>0.1</v>
      </c>
      <c r="D20" s="22">
        <v>130.59</v>
      </c>
      <c r="E20" t="s">
        <v>82</v>
      </c>
      <c r="F20" s="34">
        <f>Table1[[#This Row],[Typical rate]]*Table1[[#This Row],[Price per unit ($)]]</f>
        <v>13.059000000000001</v>
      </c>
    </row>
    <row r="21" spans="1:6" x14ac:dyDescent="0.2">
      <c r="A21" t="s">
        <v>109</v>
      </c>
      <c r="B21" t="s">
        <v>61</v>
      </c>
      <c r="C21">
        <v>7.4999999999999997E-2</v>
      </c>
      <c r="D21" s="22">
        <v>21.3</v>
      </c>
      <c r="E21" t="s">
        <v>79</v>
      </c>
      <c r="F21" s="34">
        <f>Table1[[#This Row],[Typical rate]]*Table1[[#This Row],[Price per unit ($)]]</f>
        <v>1.5974999999999999</v>
      </c>
    </row>
    <row r="22" spans="1:6" x14ac:dyDescent="0.2">
      <c r="A22" t="s">
        <v>98</v>
      </c>
      <c r="B22" t="s">
        <v>57</v>
      </c>
      <c r="C22">
        <v>1</v>
      </c>
      <c r="D22" s="22">
        <v>7.48</v>
      </c>
      <c r="E22" t="s">
        <v>79</v>
      </c>
      <c r="F22" s="34">
        <f>Table1[[#This Row],[Typical rate]]*Table1[[#This Row],[Price per unit ($)]]</f>
        <v>7.48</v>
      </c>
    </row>
    <row r="23" spans="1:6" x14ac:dyDescent="0.2">
      <c r="A23" t="s">
        <v>124</v>
      </c>
      <c r="B23" t="s">
        <v>76</v>
      </c>
      <c r="C23">
        <v>1.6</v>
      </c>
      <c r="D23" s="22">
        <v>9.32</v>
      </c>
      <c r="E23" t="s">
        <v>79</v>
      </c>
      <c r="F23" s="34">
        <f>Table1[[#This Row],[Typical rate]]*Table1[[#This Row],[Price per unit ($)]]</f>
        <v>14.912000000000001</v>
      </c>
    </row>
    <row r="24" spans="1:6" x14ac:dyDescent="0.2">
      <c r="A24" t="s">
        <v>100</v>
      </c>
      <c r="B24" t="s">
        <v>66</v>
      </c>
      <c r="C24">
        <v>1.4</v>
      </c>
      <c r="D24" s="22">
        <v>13.77</v>
      </c>
      <c r="E24" t="s">
        <v>79</v>
      </c>
      <c r="F24" s="34">
        <f>Table1[[#This Row],[Typical rate]]*Table1[[#This Row],[Price per unit ($)]]</f>
        <v>19.277999999999999</v>
      </c>
    </row>
    <row r="25" spans="1:6" x14ac:dyDescent="0.2">
      <c r="A25" t="s">
        <v>95</v>
      </c>
      <c r="B25" t="s">
        <v>64</v>
      </c>
      <c r="C25">
        <v>0.83</v>
      </c>
      <c r="D25" s="22">
        <v>19.77</v>
      </c>
      <c r="E25" t="s">
        <v>82</v>
      </c>
      <c r="F25" s="34">
        <f>Table1[[#This Row],[Typical rate]]*Table1[[#This Row],[Price per unit ($)]]</f>
        <v>16.409099999999999</v>
      </c>
    </row>
    <row r="26" spans="1:6" x14ac:dyDescent="0.2">
      <c r="A26" t="s">
        <v>106</v>
      </c>
      <c r="B26" t="s">
        <v>105</v>
      </c>
      <c r="C26">
        <v>0.3</v>
      </c>
      <c r="D26" s="22">
        <v>33.380000000000003</v>
      </c>
      <c r="E26" t="s">
        <v>79</v>
      </c>
      <c r="F26" s="34">
        <f>Table1[[#This Row],[Typical rate]]*Table1[[#This Row],[Price per unit ($)]]</f>
        <v>10.014000000000001</v>
      </c>
    </row>
    <row r="27" spans="1:6" x14ac:dyDescent="0.2">
      <c r="A27" t="s">
        <v>88</v>
      </c>
      <c r="B27" t="s">
        <v>87</v>
      </c>
      <c r="C27">
        <v>2.5</v>
      </c>
      <c r="D27" s="22">
        <v>9.4</v>
      </c>
      <c r="E27" t="s">
        <v>79</v>
      </c>
      <c r="F27" s="34">
        <f>Table1[[#This Row],[Typical rate]]*Table1[[#This Row],[Price per unit ($)]]</f>
        <v>23.5</v>
      </c>
    </row>
    <row r="28" spans="1:6" x14ac:dyDescent="0.2">
      <c r="A28" t="s">
        <v>96</v>
      </c>
      <c r="B28" t="s">
        <v>54</v>
      </c>
      <c r="C28">
        <v>0.4</v>
      </c>
      <c r="D28" s="22">
        <v>46.2</v>
      </c>
      <c r="E28" t="s">
        <v>79</v>
      </c>
      <c r="F28" s="34">
        <f>Table1[[#This Row],[Typical rate]]*Table1[[#This Row],[Price per unit ($)]]</f>
        <v>18.48</v>
      </c>
    </row>
    <row r="29" spans="1:6" x14ac:dyDescent="0.2">
      <c r="A29" t="s">
        <v>85</v>
      </c>
      <c r="B29" t="s">
        <v>84</v>
      </c>
      <c r="C29">
        <v>0.1</v>
      </c>
      <c r="D29">
        <v>70</v>
      </c>
      <c r="E29" t="s">
        <v>79</v>
      </c>
      <c r="F29" s="34">
        <f>Table1[[#This Row],[Typical rate]]*Table1[[#This Row],[Price per unit ($)]]</f>
        <v>7</v>
      </c>
    </row>
    <row r="30" spans="1:6" x14ac:dyDescent="0.2">
      <c r="A30" t="s">
        <v>127</v>
      </c>
      <c r="B30" t="s">
        <v>55</v>
      </c>
      <c r="C30">
        <v>1.7000000000000001E-2</v>
      </c>
      <c r="D30" s="22">
        <v>525.45000000000005</v>
      </c>
      <c r="E30" t="s">
        <v>82</v>
      </c>
      <c r="F30" s="34">
        <f>Table1[[#This Row],[Typical rate]]*Table1[[#This Row],[Price per unit ($)]]</f>
        <v>8.9326500000000006</v>
      </c>
    </row>
    <row r="31" spans="1:6" x14ac:dyDescent="0.2">
      <c r="A31" t="s">
        <v>115</v>
      </c>
      <c r="B31" t="s">
        <v>114</v>
      </c>
      <c r="C31">
        <v>0.2</v>
      </c>
      <c r="D31" s="22">
        <v>177.54</v>
      </c>
      <c r="E31" t="s">
        <v>79</v>
      </c>
      <c r="F31" s="34">
        <f>Table1[[#This Row],[Typical rate]]*Table1[[#This Row],[Price per unit ($)]]</f>
        <v>35.508000000000003</v>
      </c>
    </row>
    <row r="32" spans="1:6" x14ac:dyDescent="0.2">
      <c r="A32" t="s">
        <v>102</v>
      </c>
      <c r="B32" t="s">
        <v>68</v>
      </c>
      <c r="C32">
        <v>0.2</v>
      </c>
      <c r="D32" s="22">
        <v>14.5</v>
      </c>
      <c r="E32" t="s">
        <v>79</v>
      </c>
      <c r="F32" s="34">
        <f>Table1[[#This Row],[Typical rate]]*Table1[[#This Row],[Price per unit ($)]]</f>
        <v>2.9000000000000004</v>
      </c>
    </row>
    <row r="33" spans="1:6" x14ac:dyDescent="0.2">
      <c r="A33" t="s">
        <v>110</v>
      </c>
      <c r="B33" t="s">
        <v>52</v>
      </c>
      <c r="C33">
        <v>1.2</v>
      </c>
      <c r="D33" s="22">
        <v>16</v>
      </c>
      <c r="E33" t="s">
        <v>82</v>
      </c>
      <c r="F33" s="34">
        <f>Table1[[#This Row],[Typical rate]]*Table1[[#This Row],[Price per unit ($)]]</f>
        <v>19.2</v>
      </c>
    </row>
    <row r="34" spans="1:6" x14ac:dyDescent="0.2">
      <c r="A34" t="s">
        <v>81</v>
      </c>
      <c r="B34" t="s">
        <v>80</v>
      </c>
      <c r="C34">
        <v>0.4</v>
      </c>
      <c r="D34" s="22">
        <v>50</v>
      </c>
      <c r="E34" t="s">
        <v>82</v>
      </c>
      <c r="F34" s="34">
        <f>Table1[[#This Row],[Typical rate]]*Table1[[#This Row],[Price per unit ($)]]</f>
        <v>20</v>
      </c>
    </row>
    <row r="35" spans="1:6" x14ac:dyDescent="0.2">
      <c r="A35" t="s">
        <v>112</v>
      </c>
      <c r="B35" t="s">
        <v>67</v>
      </c>
      <c r="C35">
        <v>0.8</v>
      </c>
      <c r="D35" s="22">
        <v>7.25</v>
      </c>
      <c r="E35" t="s">
        <v>79</v>
      </c>
      <c r="F35" s="34">
        <f>Table1[[#This Row],[Typical rate]]*Table1[[#This Row],[Price per unit ($)]]</f>
        <v>5.8000000000000007</v>
      </c>
    </row>
    <row r="37" spans="1:6" x14ac:dyDescent="0.2">
      <c r="A37" s="251" t="s">
        <v>408</v>
      </c>
    </row>
    <row r="38" spans="1:6" x14ac:dyDescent="0.2">
      <c r="A38" s="249" t="s">
        <v>81</v>
      </c>
    </row>
    <row r="39" spans="1:6" x14ac:dyDescent="0.2">
      <c r="A39" s="249" t="s">
        <v>83</v>
      </c>
    </row>
    <row r="40" spans="1:6" x14ac:dyDescent="0.2">
      <c r="A40" s="249" t="s">
        <v>85</v>
      </c>
    </row>
    <row r="41" spans="1:6" x14ac:dyDescent="0.2">
      <c r="A41" s="249" t="s">
        <v>86</v>
      </c>
    </row>
    <row r="42" spans="1:6" x14ac:dyDescent="0.2">
      <c r="A42" s="252" t="s">
        <v>77</v>
      </c>
    </row>
    <row r="43" spans="1:6" x14ac:dyDescent="0.2">
      <c r="A43" s="249" t="s">
        <v>88</v>
      </c>
    </row>
    <row r="44" spans="1:6" x14ac:dyDescent="0.2">
      <c r="A44" s="249" t="s">
        <v>90</v>
      </c>
    </row>
    <row r="45" spans="1:6" x14ac:dyDescent="0.2">
      <c r="A45" s="249" t="s">
        <v>91</v>
      </c>
    </row>
    <row r="46" spans="1:6" x14ac:dyDescent="0.2">
      <c r="A46" s="249" t="s">
        <v>93</v>
      </c>
    </row>
    <row r="47" spans="1:6" x14ac:dyDescent="0.2">
      <c r="A47" s="249" t="s">
        <v>94</v>
      </c>
    </row>
    <row r="48" spans="1:6" x14ac:dyDescent="0.2">
      <c r="A48" s="249" t="s">
        <v>102</v>
      </c>
    </row>
    <row r="49" spans="1:1" x14ac:dyDescent="0.2">
      <c r="A49" s="249" t="s">
        <v>96</v>
      </c>
    </row>
    <row r="50" spans="1:1" x14ac:dyDescent="0.2">
      <c r="A50" s="249" t="s">
        <v>97</v>
      </c>
    </row>
    <row r="51" spans="1:1" x14ac:dyDescent="0.2">
      <c r="A51" s="249" t="s">
        <v>98</v>
      </c>
    </row>
    <row r="52" spans="1:1" x14ac:dyDescent="0.2">
      <c r="A52" s="249" t="s">
        <v>117</v>
      </c>
    </row>
    <row r="53" spans="1:1" x14ac:dyDescent="0.2">
      <c r="A53" s="249" t="s">
        <v>99</v>
      </c>
    </row>
    <row r="54" spans="1:1" x14ac:dyDescent="0.2">
      <c r="A54" s="249" t="s">
        <v>100</v>
      </c>
    </row>
    <row r="55" spans="1:1" x14ac:dyDescent="0.2">
      <c r="A55" s="249" t="s">
        <v>95</v>
      </c>
    </row>
    <row r="56" spans="1:1" x14ac:dyDescent="0.2">
      <c r="A56" s="249" t="s">
        <v>101</v>
      </c>
    </row>
    <row r="57" spans="1:1" x14ac:dyDescent="0.2">
      <c r="A57" s="249" t="s">
        <v>103</v>
      </c>
    </row>
    <row r="58" spans="1:1" x14ac:dyDescent="0.2">
      <c r="A58" s="249" t="s">
        <v>104</v>
      </c>
    </row>
    <row r="59" spans="1:1" x14ac:dyDescent="0.2">
      <c r="A59" s="249" t="s">
        <v>127</v>
      </c>
    </row>
    <row r="60" spans="1:1" x14ac:dyDescent="0.2">
      <c r="A60" s="249" t="s">
        <v>106</v>
      </c>
    </row>
    <row r="61" spans="1:1" x14ac:dyDescent="0.2">
      <c r="A61" s="249" t="s">
        <v>124</v>
      </c>
    </row>
    <row r="62" spans="1:1" x14ac:dyDescent="0.2">
      <c r="A62" s="249" t="s">
        <v>107</v>
      </c>
    </row>
    <row r="63" spans="1:1" x14ac:dyDescent="0.2">
      <c r="A63" s="249" t="s">
        <v>108</v>
      </c>
    </row>
    <row r="64" spans="1:1" x14ac:dyDescent="0.2">
      <c r="A64" s="249" t="s">
        <v>109</v>
      </c>
    </row>
    <row r="65" spans="1:1" x14ac:dyDescent="0.2">
      <c r="A65" s="249" t="s">
        <v>110</v>
      </c>
    </row>
    <row r="66" spans="1:1" x14ac:dyDescent="0.2">
      <c r="A66" s="249" t="s">
        <v>111</v>
      </c>
    </row>
    <row r="67" spans="1:1" x14ac:dyDescent="0.2">
      <c r="A67" s="249" t="s">
        <v>112</v>
      </c>
    </row>
    <row r="68" spans="1:1" x14ac:dyDescent="0.2">
      <c r="A68" s="249" t="s">
        <v>113</v>
      </c>
    </row>
    <row r="69" spans="1:1" x14ac:dyDescent="0.2">
      <c r="A69" s="249" t="s">
        <v>115</v>
      </c>
    </row>
    <row r="70" spans="1:1" x14ac:dyDescent="0.2">
      <c r="A70" s="249" t="s">
        <v>116</v>
      </c>
    </row>
    <row r="71" spans="1:1" x14ac:dyDescent="0.2">
      <c r="A71" s="250" t="s">
        <v>126</v>
      </c>
    </row>
  </sheetData>
  <sortState xmlns:xlrd2="http://schemas.microsoft.com/office/spreadsheetml/2017/richdata2" ref="A38:A71">
    <sortCondition ref="A38:A71"/>
  </sortState>
  <pageMargins left="0.7" right="0.7" top="0.75" bottom="0.75" header="0.3" footer="0.3"/>
  <pageSetup paperSize="9" orientation="portrait"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697F0-63CC-4D81-9AF0-33D882A12B65}">
  <dimension ref="A1:AT91"/>
  <sheetViews>
    <sheetView workbookViewId="0">
      <pane ySplit="1" topLeftCell="A13" activePane="bottomLeft" state="frozen"/>
      <selection activeCell="A64" sqref="A64:A65"/>
      <selection pane="bottomLeft" activeCell="A64" sqref="A64:A65"/>
    </sheetView>
  </sheetViews>
  <sheetFormatPr defaultRowHeight="12.75" x14ac:dyDescent="0.2"/>
  <cols>
    <col min="1" max="1" width="22.140625" customWidth="1"/>
    <col min="4" max="5" width="8.5703125" style="45" customWidth="1"/>
    <col min="6" max="7" width="11" style="36" hidden="1" customWidth="1"/>
    <col min="8" max="9" width="10.5703125" style="55" hidden="1" customWidth="1"/>
    <col min="10" max="10" width="11" style="57" hidden="1" customWidth="1"/>
    <col min="11" max="11" width="10.5703125" style="58" hidden="1" customWidth="1"/>
    <col min="12" max="13" width="10.5703125" style="63" hidden="1" customWidth="1"/>
    <col min="14" max="15" width="10.5703125" style="53" hidden="1" customWidth="1"/>
    <col min="16" max="17" width="7.5703125" style="172" customWidth="1"/>
    <col min="18" max="19" width="7.5703125" style="136" customWidth="1"/>
    <col min="20" max="21" width="7.5703125" style="180" customWidth="1"/>
    <col min="22" max="23" width="7.5703125" style="36" customWidth="1"/>
    <col min="24" max="25" width="7.5703125" style="158" customWidth="1"/>
    <col min="26" max="27" width="7.5703125" style="165" customWidth="1"/>
    <col min="28" max="28" width="11.85546875" style="146" bestFit="1" customWidth="1"/>
    <col min="29" max="29" width="8.85546875" style="146"/>
    <col min="30" max="30" width="11.85546875" style="149" bestFit="1" customWidth="1"/>
    <col min="31" max="31" width="8.85546875" style="149"/>
    <col min="32" max="32" width="11.85546875" style="153" bestFit="1" customWidth="1"/>
    <col min="33" max="33" width="8.85546875" style="153"/>
    <col min="34" max="34" width="9.140625" style="266"/>
    <col min="35" max="36" width="9.140625" style="214"/>
    <col min="37" max="38" width="9.140625" style="220"/>
    <col min="39" max="40" width="9.140625" style="226"/>
    <col min="41" max="42" width="9.140625" style="232"/>
    <col min="43" max="44" width="9.140625" style="238"/>
    <col min="45" max="46" width="9.140625" style="244"/>
  </cols>
  <sheetData>
    <row r="1" spans="1:46" x14ac:dyDescent="0.2">
      <c r="A1" s="39" t="s">
        <v>168</v>
      </c>
      <c r="C1" s="14" t="s">
        <v>166</v>
      </c>
      <c r="D1" s="44" t="s">
        <v>167</v>
      </c>
      <c r="E1" s="43"/>
      <c r="F1" s="35" t="s">
        <v>148</v>
      </c>
      <c r="G1" s="35"/>
      <c r="H1" s="54" t="s">
        <v>181</v>
      </c>
      <c r="J1" s="57" t="s">
        <v>180</v>
      </c>
      <c r="L1" s="62" t="s">
        <v>202</v>
      </c>
      <c r="N1" s="51" t="s">
        <v>190</v>
      </c>
      <c r="O1" s="51"/>
      <c r="P1" s="171" t="s">
        <v>224</v>
      </c>
      <c r="Q1" s="171"/>
      <c r="R1" s="176" t="s">
        <v>212</v>
      </c>
      <c r="T1" s="179" t="s">
        <v>228</v>
      </c>
      <c r="V1" s="118" t="s">
        <v>282</v>
      </c>
      <c r="W1" s="119"/>
      <c r="X1" s="157" t="s">
        <v>283</v>
      </c>
      <c r="Z1" s="164" t="s">
        <v>284</v>
      </c>
      <c r="AB1" s="146" t="s">
        <v>291</v>
      </c>
      <c r="AD1" s="149" t="s">
        <v>292</v>
      </c>
      <c r="AF1" s="153" t="s">
        <v>293</v>
      </c>
      <c r="AH1" s="266" t="s">
        <v>383</v>
      </c>
      <c r="AI1" s="213" t="s">
        <v>394</v>
      </c>
      <c r="AK1" s="219" t="s">
        <v>395</v>
      </c>
      <c r="AM1" s="225" t="s">
        <v>396</v>
      </c>
      <c r="AO1" s="231" t="s">
        <v>397</v>
      </c>
      <c r="AQ1" s="237" t="s">
        <v>398</v>
      </c>
      <c r="AS1" s="243" t="s">
        <v>399</v>
      </c>
    </row>
    <row r="2" spans="1:46" ht="13.5" thickBot="1" x14ac:dyDescent="0.25">
      <c r="A2" s="37" t="str">
        <f>'Front Page'!C8</f>
        <v>Large broadleaf 15.5</v>
      </c>
      <c r="B2" s="14" t="s">
        <v>31</v>
      </c>
      <c r="C2" s="14" t="s">
        <v>40</v>
      </c>
      <c r="D2" s="44" t="s">
        <v>400</v>
      </c>
      <c r="E2" s="44" t="s">
        <v>401</v>
      </c>
      <c r="F2" s="35" t="s">
        <v>32</v>
      </c>
      <c r="G2" s="35" t="s">
        <v>33</v>
      </c>
      <c r="H2" s="56" t="s">
        <v>32</v>
      </c>
      <c r="I2" s="56" t="s">
        <v>33</v>
      </c>
      <c r="J2" s="59" t="s">
        <v>32</v>
      </c>
      <c r="K2" s="60" t="s">
        <v>33</v>
      </c>
      <c r="L2" s="64" t="s">
        <v>196</v>
      </c>
      <c r="M2" s="64" t="s">
        <v>197</v>
      </c>
      <c r="N2" s="52" t="s">
        <v>193</v>
      </c>
      <c r="O2" s="52" t="s">
        <v>194</v>
      </c>
      <c r="P2" s="173" t="s">
        <v>143</v>
      </c>
      <c r="Q2" s="173" t="s">
        <v>144</v>
      </c>
      <c r="R2" s="137" t="s">
        <v>143</v>
      </c>
      <c r="S2" s="137" t="s">
        <v>144</v>
      </c>
      <c r="T2" s="181" t="s">
        <v>143</v>
      </c>
      <c r="U2" s="181" t="s">
        <v>144</v>
      </c>
      <c r="V2" s="35" t="s">
        <v>143</v>
      </c>
      <c r="W2" s="35" t="s">
        <v>144</v>
      </c>
      <c r="X2" s="159" t="s">
        <v>143</v>
      </c>
      <c r="Y2" s="159" t="s">
        <v>144</v>
      </c>
      <c r="Z2" s="166" t="s">
        <v>143</v>
      </c>
      <c r="AA2" s="166" t="s">
        <v>144</v>
      </c>
      <c r="AB2" s="115" t="s">
        <v>143</v>
      </c>
      <c r="AC2" s="115" t="s">
        <v>144</v>
      </c>
      <c r="AD2" s="150" t="s">
        <v>143</v>
      </c>
      <c r="AE2" s="150" t="s">
        <v>144</v>
      </c>
      <c r="AF2" s="154" t="s">
        <v>143</v>
      </c>
      <c r="AG2" s="154" t="s">
        <v>144</v>
      </c>
      <c r="AH2" s="266">
        <f>IF('Front Page'!$C$31&gt;0,1-'Front Page'!$C$31,"")</f>
        <v>0.995</v>
      </c>
      <c r="AI2" s="215" t="s">
        <v>143</v>
      </c>
      <c r="AJ2" s="215" t="s">
        <v>144</v>
      </c>
      <c r="AK2" s="221" t="s">
        <v>143</v>
      </c>
      <c r="AL2" s="221" t="s">
        <v>144</v>
      </c>
      <c r="AM2" s="227" t="s">
        <v>143</v>
      </c>
      <c r="AN2" s="227" t="s">
        <v>144</v>
      </c>
      <c r="AO2" s="233" t="s">
        <v>143</v>
      </c>
      <c r="AP2" s="233" t="s">
        <v>144</v>
      </c>
      <c r="AQ2" s="239" t="s">
        <v>143</v>
      </c>
      <c r="AR2" s="239" t="s">
        <v>144</v>
      </c>
      <c r="AS2" s="245" t="s">
        <v>143</v>
      </c>
      <c r="AT2" s="245" t="s">
        <v>144</v>
      </c>
    </row>
    <row r="3" spans="1:46" x14ac:dyDescent="0.2">
      <c r="A3" s="41" t="s">
        <v>170</v>
      </c>
      <c r="B3">
        <v>0</v>
      </c>
      <c r="C3">
        <f>1-'Front Page'!$C$30</f>
        <v>0.99630303030303036</v>
      </c>
      <c r="D3" s="45">
        <f>IF($A$4=1,F3,IF($A$4=2,AB3,IF($A$4=4,AF3,IF($A$4=5,N3,IF($A$4=3,AD3,IF($A$4=6,AQ3,IF($A$4=7,AO3,IF($A$4=8,AS3,IF($A$4=9,AI3,IF($A$4=10,AK3,IF($A$4=11,AM3)))))))))))</f>
        <v>100</v>
      </c>
      <c r="E3" s="45">
        <f>IF($A$62="reversed",NA(),IF($A$4=1,G3,IF($A$4=2,AC3,IF($A$4=4,AG3,IF($A$4=5,O3,IF($A$4=3,AE3,IF($A$4=6,AR3,IF($A$4=7,AP3,IF($A$4=8,AT3,IF($A$4=9,AJ3,IF($A$4=10,AL3,IF($A$4=11,AN3))))))))))))</f>
        <v>34.510092257070987</v>
      </c>
      <c r="F3" s="36">
        <f>Equations!$E$4/(1+EXP(Equations!$F$4*ChartData!B3*(Equations!$G$4*Equations!$C$4+Equations!$D$4)))</f>
        <v>100</v>
      </c>
      <c r="G3" s="36">
        <f>Equations!$E$7*EXP(-EXP(-Equations!$F$7*(ChartData!B3-Equations!$G$7+Equations!$H$7*Equations!$C$7+Equations!$I$7*Equations!$D$7)))</f>
        <v>72.179253051966782</v>
      </c>
      <c r="H3" s="55">
        <f>Models!$B$13+Models!$C$13*EXP(Models!$D$13*ChartData!B3+(Models!$E$13*ChartData!B3*Models!$E$3))</f>
        <v>100</v>
      </c>
      <c r="I3" s="55">
        <f>Models!$B$50*EXP(-EXP(Models!$D$50*(ChartData!B3+Models!$C$50-(Models!$E$50*Models!$B$5))))</f>
        <v>61.371494732298949</v>
      </c>
      <c r="J3" s="57">
        <f>Models!$B$12/(1+EXP(Models!$D$12*(ChartData!B3-Models!$C$12+Models!$E$12*ChartData!B3*Models!$B$5)))</f>
        <v>120.99992303887166</v>
      </c>
      <c r="K3" s="61">
        <f>Models!$B$49*EXP(-EXP(Models!$D$49*(ChartData!B3-Models!$C$49+(Models!$E$49*ChartData!B3*Models!$B$5))))</f>
        <v>0.83096869618131708</v>
      </c>
      <c r="L3" s="62">
        <f>Models!$B$15/(1+EXP(Models!$D$15*(ChartData!B3*(1+Models!$D$15*Models!$B$5)-Models!$C$15)))</f>
        <v>101.56276650970194</v>
      </c>
      <c r="M3" s="63">
        <f>Models!$B$52*EXP(-EXP(Models!$D$52*(ChartData!B3*(1+Models!$D$52*Models!$B$5)-Models!$C$52)))</f>
        <v>0.89783661583788621</v>
      </c>
      <c r="N3" s="53">
        <f>Models!$B$15/(1+EXP(Models!$D$15*(ChartData!B3-Models!$D$15+Models!$E$15*ChartData!B3*Models!$B$5)))</f>
        <v>100.00025839464449</v>
      </c>
      <c r="O3" s="53">
        <f>Models!$B$52*EXP(-EXP(Models!$D$52*(ChartData!B3-Models!$C$52+Models!$E$52*ChartData!B3*Models!$B$5)))</f>
        <v>0.89783661583788621</v>
      </c>
      <c r="P3" s="172">
        <f>Models!$B$16*Models!$I$16+(100-Models!$B$16*Models!$I$16)/(1+EXP(Models!$C$16*(ChartData!B3-Models!$E$16+Models!$B$4*Models!$F$16+Models!$B$4*Models!$G$16*Models!$I$16+Models!$B$5*Models!$H$16)))</f>
        <v>98.760577404960912</v>
      </c>
      <c r="Q3" s="172">
        <f>Models!$B$53*EXP(-EXP(Models!$D$53*(ChartData!B3+Models!$C$53+Models!$B$5*Models!$E$53+Models!$B$4*Models!$F$53)))</f>
        <v>32.831733574013569</v>
      </c>
      <c r="R3" s="136">
        <f>Models!$B$17*Models!$I$17+(100-Models!$B$17*Models!$I$17)/(1+EXP(Models!$C$17*(ChartData!B3-Models!$E$17+Models!$B$4*Models!$F$17+Models!$B$4*Models!$G$17*Models!$I$17+Models!$B$5*Models!$H$17)))</f>
        <v>98.936331150764559</v>
      </c>
      <c r="S3" s="136">
        <f>Models!$B$54*EXP(-EXP(Models!$D$54*(ChartData!B3+Models!$C$54+Models!$B$5*Models!$E$54+Models!$B$4*Models!$F$54)))</f>
        <v>27.829263144134419</v>
      </c>
      <c r="T3" s="180">
        <f>Models!$B$18*Models!$I$18+(100-Models!$B$18*Models!$I$18)/(1+EXP(Models!$C$18*(ChartData!B3-Models!$E$18+Models!$B$4*Models!$F$18+Models!$B$4*Models!$G$18*Models!$I$18+Models!$B$5*Models!$H$18)))</f>
        <v>98.953620523880488</v>
      </c>
      <c r="U3" s="180">
        <f>Models!$B$55*EXP(-EXP(Models!$D$55*(ChartData!B3+Models!$C$55+Models!$B$5*Models!$E$55+Models!$B$4*Models!$F$55)))</f>
        <v>34.510463442576324</v>
      </c>
      <c r="V3" s="36">
        <f>Models!$B$19*Models!$I$19+(100-Models!$B$19*Models!$I$19)/(1+EXP(Models!$C$19*(ChartData!$B3-Models!$E$19+Models!$B$5*ChartData!$B3*Models!$F$19+Models!$B$4*Models!$G$19)))</f>
        <v>92.82050475935273</v>
      </c>
      <c r="W3" s="36">
        <f>Models!$B$56*EXP(-EXP(Models!$D$56*(ChartData!B3+Models!$C$56+Models!$B$5*Models!$E$56+Models!$B$4*Models!$F$56)))</f>
        <v>72.484398612026638</v>
      </c>
      <c r="X3" s="158">
        <f>Models!$B$20*Models!$I$20+(100-Models!$B$20*Models!$I$20)/(1+EXP(Models!$C$20*(ChartData!$B3-Models!$E$20+Models!$B$5*ChartData!$B3*Models!$F$20+Models!$B$4*Models!$G$20)))</f>
        <v>92.7540485132524</v>
      </c>
      <c r="Y3" s="158">
        <f>Models!$B$57*EXP(-EXP(Models!$D$57*(ChartData!B3+Models!$C$57+Models!$B$5*Models!$E$57+Models!$B$4*Models!$F$57)))</f>
        <v>73.037333111286131</v>
      </c>
      <c r="Z3" s="165">
        <f>Models!$B$21*Models!$I$21+(100-Models!$B$21*Models!$I$21)/(1+EXP(Models!$C$21*(ChartData!$B3-Models!$E$21+Models!$B$5*ChartData!$B3*Models!$F$21+Models!$B$4*Models!$G$21)))</f>
        <v>93.824479531540291</v>
      </c>
      <c r="AA3" s="165">
        <f>Models!$B$58*EXP(-EXP(Models!$D$58*(ChartData!B3+Models!$C$58+Models!$B$5*Models!$E$58+Models!$B$4*Models!$F$58)))</f>
        <v>73.052199284693828</v>
      </c>
      <c r="AB3" s="146">
        <f>200/(1+EXP(Models!$D$22*((Models!$E$22*Models!$B$4+Models!$B$5)*ChartData!B3)))</f>
        <v>100</v>
      </c>
      <c r="AC3" s="146">
        <f>100*EXP(-EXP(Models!$D$59*(ChartData!B3-Models!$C$59+Models!$E$59*Models!$B$4+Models!$F$59*Models!$B$5)))</f>
        <v>66.837565693274314</v>
      </c>
      <c r="AD3" s="149">
        <f>200/(1+EXP(Models!$D$23*((Models!$E$23*Models!$B$4+Models!$B$5)*ChartData!B3)))</f>
        <v>100</v>
      </c>
      <c r="AE3" s="149">
        <f>100*EXP(-EXP(Models!$D$60*(ChartData!B3-Models!$C$60+Models!$E$60*Models!$B$4+Models!$F$60*Models!$B$5)))</f>
        <v>67.137335494994616</v>
      </c>
      <c r="AF3" s="153">
        <f>200/(1+EXP(Models!$D$24*((Models!$E$24*Models!$B$4+Models!$B$5)*ChartData!B3)))</f>
        <v>100</v>
      </c>
      <c r="AG3" s="153">
        <f>100*EXP(-EXP(Models!$D$61*(ChartData!B3-Models!$C$61+Models!$E$61*Models!$B$4+Models!$F$61*Models!$B$5)))</f>
        <v>67.197388417610497</v>
      </c>
      <c r="AH3" s="266">
        <f>IF('Front Page'!$C$31&gt;0,1-'Front Page'!$C$31,"")</f>
        <v>0.995</v>
      </c>
      <c r="AI3" s="214">
        <f>Models!$B$25*Models!$I$25+(200-Models!$B$25*Models!$I$25)/(1+EXP(Models!$C$25*B3*(Models!$B$4*Models!$F$25+Models!$B$5+Models!$I$25*Models!$G$25)))</f>
        <v>100</v>
      </c>
      <c r="AJ3" s="214">
        <f>100*EXP(-EXP(Models!$D$62*(ChartData!B3-Models!$C$62+Models!$E$62*Models!$B$4+Models!$F$62*Models!$B$5)))</f>
        <v>72.484141507719031</v>
      </c>
      <c r="AK3" s="220">
        <f>Models!$B$26*Models!$I$26+(200-Models!$B$26*Models!$I$26)/(1+EXP(Models!$C$26*B3*(Models!$B$4*Models!$F$26+Models!$B$5+Models!$I$26*Models!$G$26)))</f>
        <v>100</v>
      </c>
      <c r="AL3" s="220">
        <f>100*EXP(-EXP(Models!$D$63*(ChartData!B3-Models!$C$63+Models!$E$63*Models!$B$4+Models!$F$63*Models!$B$5)))</f>
        <v>73.037184039691354</v>
      </c>
      <c r="AM3" s="226">
        <f>Models!$B$27*Models!$I$27+(200-Models!$B$27*Models!$I$27)/(1+EXP(Models!$C$27*B3*(Models!$B$4*Models!$F$27+Models!$B$5+Models!$I$27*Models!$G$27)))</f>
        <v>107.787155</v>
      </c>
      <c r="AN3" s="226">
        <f>100*EXP(-EXP(Models!$D$64*(ChartData!B3-Models!$C$64+Models!$E$64*Models!$B$4+Models!$F$64*Models!$B$5)))</f>
        <v>73.051816424799355</v>
      </c>
      <c r="AO3" s="232">
        <f>Models!$B$28*Models!$I$28+(200-Models!$B$28*Models!$I$28)/(1+EXP(Models!$C$28*B3*(Models!$B$4*Models!$F$28+Models!$B$5+Models!$I$28*Models!$G$28)))</f>
        <v>100</v>
      </c>
      <c r="AP3" s="232">
        <f>100*EXP(-EXP(Models!$D$65*(ChartData!B3-Models!$C$65+Models!$E$65*Models!$B$4+Models!$F$65*Models!$B$5)))</f>
        <v>27.835952539265147</v>
      </c>
      <c r="AQ3" s="238">
        <f>Models!$B$29*Models!$I$29+(200-Models!$B$29*Models!$I$29)/(1+EXP(Models!$C$29*B3*(Models!$B$4*Models!$F$29+Models!$B$5+Models!$I$29*Models!$G$29)))</f>
        <v>100</v>
      </c>
      <c r="AR3" s="238">
        <f>100*EXP(-EXP(Models!$D$66*(ChartData!B3-Models!$C$66+Models!$E$66*Models!$B$4+Models!$F$66*Models!$B$5)))</f>
        <v>34.510092257070987</v>
      </c>
      <c r="AS3" s="244">
        <f>Models!$B$30*Models!$I$30+(200-Models!$B$30*Models!$I$30)/(1+EXP(Models!$C$30*B3*(Models!$B$4*Models!$F$30+Models!$B$5+Models!$I$30*Models!$G$30)))</f>
        <v>104.81431884999999</v>
      </c>
      <c r="AT3" s="244">
        <f>100*EXP(-EXP(Models!$D$67*(ChartData!B3-Models!$C$67+Models!$E$67*Models!$B$4+Models!$F$67*Models!$B$5)))</f>
        <v>30.61411185658703</v>
      </c>
    </row>
    <row r="4" spans="1:46" ht="13.5" thickBot="1" x14ac:dyDescent="0.25">
      <c r="A4" s="42">
        <f>IF(ISNUMBER(SEARCH("original",$A$2)),1,
IF(ISNUMBER(SEARCH("Multi-species 12",$A$2)),2,
IF(ISNUMBER(SEARCH("Multi-species 15/32",$A$2)),4,
IF(ISNUMBER(SEARCH("New Sunflowers",$A$2)),5,
IF(ISNUMBER(SEARCH("Multi-species 15.5",$A$2)),3,
IF(ISNUMBER(SEARCH("Large broadleaf 15.5",$A$2)),6,
IF(ISNUMBER(SEARCH("Large broadleaf 12",$A$2)),7,
IF(ISNUMBER(SEARCH("Large broadleaf 15/32",$A$2)),8,
IF(ISNUMBER(SEARCH("Small broadleaf 12",$A$2)),9,IF(ISNUMBER(SEARCH("Small broadleaf 15.5",$A$2)),10,IF(ISNUMBER(SEARCH("Small broadleaf 15/32",$A$2)),11)))))))))))</f>
        <v>6</v>
      </c>
      <c r="B4">
        <v>10</v>
      </c>
      <c r="C4">
        <f>1-'Front Page'!$C$30</f>
        <v>0.99630303030303036</v>
      </c>
      <c r="D4" s="45">
        <f t="shared" ref="D4:D67" si="0">IF($A$4=1,F4,IF($A$4=2,AB4,IF($A$4=4,AF4,IF($A$4=5,N4,IF($A$4=3,AD4,IF($A$4=6,AQ4,IF($A$4=7,AO4,IF($A$4=8,AS4,IF($A$4=9,AI4,IF($A$4=10,AK4,IF($A$4=11,AM4)))))))))))</f>
        <v>99.839210668240241</v>
      </c>
      <c r="E4" s="45">
        <f t="shared" ref="E4:E67" si="1">IF($A$62="reversed",NA(),IF($A$4=1,G4,IF($A$4=2,AC4,IF($A$4=4,AG4,IF($A$4=5,O4,IF($A$4=3,AE4,IF($A$4=6,AR4,IF($A$4=7,AP4,IF($A$4=8,AT4,IF($A$4=9,AJ4,IF($A$4=10,AL4,IF($A$4=11,AN4))))))))))))</f>
        <v>36.750763532161649</v>
      </c>
      <c r="F4" s="36">
        <f>Equations!$E$4/(1+EXP(Equations!$F$4*ChartData!B4*(Equations!$G$4*Equations!$C$4+Equations!$D$4)))</f>
        <v>99.90449155864053</v>
      </c>
      <c r="G4" s="36">
        <f>Equations!$E$7*EXP(-EXP(-Equations!$F$7*(ChartData!B4-Equations!$G$7+Equations!$H$7*Equations!$C$7+Equations!$I$7*Equations!$D$7)))</f>
        <v>72.95995048765252</v>
      </c>
      <c r="H4" s="55">
        <f>Models!$B$13+Models!$C$13*EXP(Models!$D$13*ChartData!B4+(Models!$E$13*ChartData!B4*Models!$E$3))</f>
        <v>99.697252490734826</v>
      </c>
      <c r="I4" s="55">
        <f>Models!$B$50*EXP(-EXP(Models!$D$50*(ChartData!B4+Models!$C$50-(Models!$E$50*Models!$B$5))))</f>
        <v>62.047692980408144</v>
      </c>
      <c r="J4" s="57">
        <f>Models!$B$12/(1+EXP(Models!$D$12*(ChartData!B4-Models!$C$12+Models!$E$12*ChartData!B4*Models!$B$5)))</f>
        <v>120.9998890565972</v>
      </c>
      <c r="K4" s="61">
        <f>Models!$B$49*EXP(-EXP(Models!$D$49*(ChartData!B4-Models!$C$49+(Models!$E$49*ChartData!B4*Models!$B$5))))</f>
        <v>1.1494077302055716</v>
      </c>
      <c r="L4" s="62">
        <f>Models!$B$15/(1+EXP(Models!$D$15*(ChartData!B4*(1+Models!$D$15*Models!$B$5)-Models!$C$15)))</f>
        <v>100.41332166409343</v>
      </c>
      <c r="M4" s="63">
        <f>Models!$B$52*EXP(-EXP(Models!$D$52*(ChartData!B4*(1+Models!$D$52*Models!$B$5)-Models!$C$52)))</f>
        <v>1.2710678256086938</v>
      </c>
      <c r="N4" s="53">
        <f>Models!$B$15/(1+EXP(Models!$D$15*(ChartData!B4-Models!$D$15+Models!$E$15*ChartData!B4*Models!$B$5)))</f>
        <v>98.712948312000563</v>
      </c>
      <c r="O4" s="53">
        <f>Models!$B$52*EXP(-EXP(Models!$D$52*(ChartData!B4-Models!$C$52+Models!$E$52*ChartData!B4*Models!$B$5)))</f>
        <v>1.3159756101058198</v>
      </c>
      <c r="P4" s="172">
        <f>Models!$B$16*Models!$I$16+(100-Models!$B$16*Models!$I$16)/(1+EXP(Models!$C$16*(ChartData!B4-Models!$E$16+Models!$B$4*Models!$F$16+Models!$B$4*Models!$G$16*Models!$I$16+Models!$B$5*Models!$H$16)))</f>
        <v>98.732218612415764</v>
      </c>
      <c r="Q4" s="172">
        <f>Models!$B$53*EXP(-EXP(Models!$D$53*(ChartData!B4+Models!$C$53+Models!$B$5*Models!$E$53+Models!$B$4*Models!$F$53)))</f>
        <v>34.887863454835816</v>
      </c>
      <c r="R4" s="136">
        <f>Models!$B$17*Models!$I$17+(100-Models!$B$17*Models!$I$17)/(1+EXP(Models!$C$17*(ChartData!B4-Models!$E$17+Models!$B$4*Models!$F$17+Models!$B$4*Models!$G$17*Models!$I$17+Models!$B$5*Models!$H$17)))</f>
        <v>98.917044206570054</v>
      </c>
      <c r="S4" s="136">
        <f>Models!$B$54*EXP(-EXP(Models!$D$54*(ChartData!B4+Models!$C$54+Models!$B$5*Models!$E$54+Models!$B$4*Models!$F$54)))</f>
        <v>29.167341608515219</v>
      </c>
      <c r="T4" s="180">
        <f>Models!$B$18*Models!$I$18+(100-Models!$B$18*Models!$I$18)/(1+EXP(Models!$C$18*(ChartData!B4-Models!$E$18+Models!$B$4*Models!$F$18+Models!$B$4*Models!$G$18*Models!$I$18+Models!$B$5*Models!$H$18)))</f>
        <v>98.925231522891679</v>
      </c>
      <c r="U4" s="180">
        <f>Models!$B$55*EXP(-EXP(Models!$D$55*(ChartData!B4+Models!$C$55+Models!$B$5*Models!$E$55+Models!$B$4*Models!$F$55)))</f>
        <v>36.751172233410728</v>
      </c>
      <c r="V4" s="36">
        <f>Models!$B$19*Models!$I$19+(100-Models!$B$19*Models!$I$19)/(1+EXP(Models!$C$19*(ChartData!$B4-Models!$E$19+Models!$B$5*ChartData!$B4*Models!$F$19+Models!$B$4*Models!$G$19)))</f>
        <v>92.77887018281244</v>
      </c>
      <c r="W4" s="36">
        <f>Models!$B$56*EXP(-EXP(Models!$D$56*(ChartData!B4+Models!$C$56+Models!$B$5*Models!$E$56+Models!$B$4*Models!$F$56)))</f>
        <v>73.123012847463229</v>
      </c>
      <c r="X4" s="158">
        <f>Models!$B$20*Models!$I$20+(100-Models!$B$20*Models!$I$20)/(1+EXP(Models!$C$20*(ChartData!$B4-Models!$E$20+Models!$B$5*ChartData!$B4*Models!$F$20+Models!$B$4*Models!$G$20)))</f>
        <v>92.692057502970968</v>
      </c>
      <c r="Y4" s="158">
        <f>Models!$B$57*EXP(-EXP(Models!$D$57*(ChartData!B4+Models!$C$57+Models!$B$5*Models!$E$57+Models!$B$4*Models!$F$57)))</f>
        <v>73.983091053474311</v>
      </c>
      <c r="Z4" s="165">
        <f>Models!$B$21*Models!$I$21+(100-Models!$B$21*Models!$I$21)/(1+EXP(Models!$C$21*(ChartData!$B4-Models!$E$21+Models!$B$5*ChartData!$B4*Models!$F$21+Models!$B$4*Models!$G$21)))</f>
        <v>93.766330631935489</v>
      </c>
      <c r="AA4" s="165">
        <f>Models!$B$58*EXP(-EXP(Models!$D$58*(ChartData!B4+Models!$C$58+Models!$B$5*Models!$E$58+Models!$B$4*Models!$F$58)))</f>
        <v>74.049166618672302</v>
      </c>
      <c r="AB4" s="146">
        <f>200/(1+EXP(Models!$D$22*((Models!$E$22*Models!$B$4+Models!$B$5)*ChartData!B4)))</f>
        <v>99.93020852713147</v>
      </c>
      <c r="AC4" s="146">
        <f>100*EXP(-EXP(Models!$D$59*(ChartData!B4-Models!$C$59+Models!$E$59*Models!$B$4+Models!$F$59*Models!$B$5)))</f>
        <v>67.355607176278369</v>
      </c>
      <c r="AD4" s="149">
        <f>200/(1+EXP(Models!$D$23*((Models!$E$23*Models!$B$4+Models!$B$5)*ChartData!B4)))</f>
        <v>99.898678469322434</v>
      </c>
      <c r="AE4" s="149">
        <f>100*EXP(-EXP(Models!$D$60*(ChartData!B4-Models!$C$60+Models!$E$60*Models!$B$4+Models!$F$60*Models!$B$5)))</f>
        <v>67.898258542247049</v>
      </c>
      <c r="AF4" s="153">
        <f>200/(1+EXP(Models!$D$24*((Models!$E$24*Models!$B$4+Models!$B$5)*ChartData!B4)))</f>
        <v>99.888595443288011</v>
      </c>
      <c r="AG4" s="153">
        <f>100*EXP(-EXP(Models!$D$61*(ChartData!B4-Models!$C$61+Models!$E$61*Models!$B$4+Models!$F$61*Models!$B$5)))</f>
        <v>68.013755098315329</v>
      </c>
      <c r="AH4" s="266">
        <f>IF('Front Page'!$C$31&gt;0,1-'Front Page'!$C$31,"")</f>
        <v>0.995</v>
      </c>
      <c r="AI4" s="214">
        <f>Models!$B$25*Models!$I$25+(200-Models!$B$25*Models!$I$25)/(1+EXP(Models!$C$25*B4*(Models!$B$4*Models!$F$25+Models!$B$5+Models!$I$25*Models!$G$25)))</f>
        <v>99.904980854306487</v>
      </c>
      <c r="AJ4" s="214">
        <f>100*EXP(-EXP(Models!$D$62*(ChartData!B4-Models!$C$62+Models!$E$62*Models!$B$4+Models!$F$62*Models!$B$5)))</f>
        <v>73.122760548006994</v>
      </c>
      <c r="AK4" s="220">
        <f>Models!$B$26*Models!$I$26+(200-Models!$B$26*Models!$I$26)/(1+EXP(Models!$C$26*B4*(Models!$B$4*Models!$F$26+Models!$B$5+Models!$I$26*Models!$G$26)))</f>
        <v>99.865412426196229</v>
      </c>
      <c r="AL4" s="220">
        <f>100*EXP(-EXP(Models!$D$63*(ChartData!B4-Models!$C$63+Models!$E$63*Models!$B$4+Models!$F$63*Models!$B$5)))</f>
        <v>73.982923941078084</v>
      </c>
      <c r="AM4" s="226">
        <f>Models!$B$27*Models!$I$27+(200-Models!$B$27*Models!$I$27)/(1+EXP(Models!$C$27*B4*(Models!$B$4*Models!$F$27+Models!$B$5+Models!$I$27*Models!$G$27)))</f>
        <v>107.39666751551577</v>
      </c>
      <c r="AN4" s="226">
        <f>100*EXP(-EXP(Models!$D$64*(ChartData!B4-Models!$C$64+Models!$E$64*Models!$B$4+Models!$F$64*Models!$B$5)))</f>
        <v>74.048795287145566</v>
      </c>
      <c r="AO4" s="232">
        <f>Models!$B$28*Models!$I$28+(200-Models!$B$28*Models!$I$28)/(1+EXP(Models!$C$28*B4*(Models!$B$4*Models!$F$28+Models!$B$5+Models!$I$28*Models!$G$28)))</f>
        <v>99.890465854979396</v>
      </c>
      <c r="AP4" s="232">
        <f>100*EXP(-EXP(Models!$D$65*(ChartData!B4-Models!$C$65+Models!$E$65*Models!$B$4+Models!$F$65*Models!$B$5)))</f>
        <v>29.174095201051909</v>
      </c>
      <c r="AQ4" s="238">
        <f>Models!$B$29*Models!$I$29+(200-Models!$B$29*Models!$I$29)/(1+EXP(Models!$C$29*B4*(Models!$B$4*Models!$F$29+Models!$B$5+Models!$I$29*Models!$G$29)))</f>
        <v>99.839210668240241</v>
      </c>
      <c r="AR4" s="238">
        <f>100*EXP(-EXP(Models!$D$66*(ChartData!B4-Models!$C$66+Models!$E$66*Models!$B$4+Models!$F$66*Models!$B$5)))</f>
        <v>36.750763532161649</v>
      </c>
      <c r="AS4" s="244">
        <f>Models!$B$30*Models!$I$30+(200-Models!$B$30*Models!$I$30)/(1+EXP(Models!$C$30*B4*(Models!$B$4*Models!$F$30+Models!$B$5+Models!$I$30*Models!$G$30)))</f>
        <v>104.61396889393633</v>
      </c>
      <c r="AT4" s="244">
        <f>100*EXP(-EXP(Models!$D$67*(ChartData!B4-Models!$C$67+Models!$E$67*Models!$B$4+Models!$F$67*Models!$B$5)))</f>
        <v>32.412994189480258</v>
      </c>
    </row>
    <row r="5" spans="1:46" x14ac:dyDescent="0.2">
      <c r="B5">
        <v>20</v>
      </c>
      <c r="C5">
        <f>1-'Front Page'!$C$30</f>
        <v>0.99630303030303036</v>
      </c>
      <c r="D5" s="45">
        <f t="shared" si="0"/>
        <v>99.678422167862351</v>
      </c>
      <c r="E5" s="45">
        <f t="shared" si="1"/>
        <v>38.991615159450419</v>
      </c>
      <c r="F5" s="36">
        <f>Equations!$E$4/(1+EXP(Equations!$F$4*ChartData!B5*(Equations!$G$4*Equations!$C$4+Equations!$D$4)))</f>
        <v>99.808983291523845</v>
      </c>
      <c r="G5" s="36">
        <f>Equations!$E$7*EXP(-EXP(-Equations!$F$7*(ChartData!B5-Equations!$G$7+Equations!$H$7*Equations!$C$7+Equations!$I$7*Equations!$D$7)))</f>
        <v>73.722916033329895</v>
      </c>
      <c r="H5" s="55">
        <f>Models!$B$13+Models!$C$13*EXP(Models!$D$13*ChartData!B5+(Models!$E$13*ChartData!B5*Models!$E$3))</f>
        <v>99.395635142435935</v>
      </c>
      <c r="I5" s="55">
        <f>Models!$B$50*EXP(-EXP(Models!$D$50*(ChartData!B5+Models!$C$50-(Models!$E$50*Models!$B$5))))</f>
        <v>62.715915322429275</v>
      </c>
      <c r="J5" s="57">
        <f>Models!$B$12/(1+EXP(Models!$D$12*(ChartData!B5-Models!$C$12+Models!$E$12*ChartData!B5*Models!$B$5)))</f>
        <v>120.99984006943026</v>
      </c>
      <c r="K5" s="61">
        <f>Models!$B$49*EXP(-EXP(Models!$D$49*(ChartData!B5-Models!$C$49+(Models!$E$49*ChartData!B5*Models!$B$5))))</f>
        <v>1.5553290292683251</v>
      </c>
      <c r="L5" s="62">
        <f>Models!$B$15/(1+EXP(Models!$D$15*(ChartData!B5*(1+Models!$D$15*Models!$B$5)-Models!$C$15)))</f>
        <v>99.263767588184805</v>
      </c>
      <c r="M5" s="63">
        <f>Models!$B$52*EXP(-EXP(Models!$D$52*(ChartData!B5*(1+Models!$D$52*Models!$B$5)-Models!$C$52)))</f>
        <v>1.7538988464710237</v>
      </c>
      <c r="N5" s="53">
        <f>Models!$B$15/(1+EXP(Models!$D$15*(ChartData!B5-Models!$D$15+Models!$E$15*ChartData!B5*Models!$B$5)))</f>
        <v>97.426064730659206</v>
      </c>
      <c r="O5" s="53">
        <f>Models!$B$52*EXP(-EXP(Models!$D$52*(ChartData!B5-Models!$C$52+Models!$E$52*ChartData!B5*Models!$B$5)))</f>
        <v>1.8699380622578217</v>
      </c>
      <c r="P5" s="172">
        <f>Models!$B$16*Models!$I$16+(100-Models!$B$16*Models!$I$16)/(1+EXP(Models!$C$16*(ChartData!B5-Models!$E$16+Models!$B$4*Models!$F$16+Models!$B$4*Models!$G$16*Models!$I$16+Models!$B$5*Models!$H$16)))</f>
        <v>98.703219472297761</v>
      </c>
      <c r="Q5" s="172">
        <f>Models!$B$53*EXP(-EXP(Models!$D$53*(ChartData!B5+Models!$C$53+Models!$B$5*Models!$E$53+Models!$B$4*Models!$F$53)))</f>
        <v>36.95014777547577</v>
      </c>
      <c r="R5" s="136">
        <f>Models!$B$17*Models!$I$17+(100-Models!$B$17*Models!$I$17)/(1+EXP(Models!$C$17*(ChartData!B5-Models!$E$17+Models!$B$4*Models!$F$17+Models!$B$4*Models!$G$17*Models!$I$17+Models!$B$5*Models!$H$17)))</f>
        <v>98.897411439853798</v>
      </c>
      <c r="S5" s="136">
        <f>Models!$B$54*EXP(-EXP(Models!$D$54*(ChartData!B5+Models!$C$54+Models!$B$5*Models!$E$54+Models!$B$4*Models!$F$54)))</f>
        <v>30.51709436077558</v>
      </c>
      <c r="T5" s="180">
        <f>Models!$B$18*Models!$I$18+(100-Models!$B$18*Models!$I$18)/(1+EXP(Models!$C$18*(ChartData!B5-Models!$E$18+Models!$B$4*Models!$F$18+Models!$B$4*Models!$G$18*Models!$I$18+Models!$B$5*Models!$H$18)))</f>
        <v>98.896081676114449</v>
      </c>
      <c r="U5" s="180">
        <f>Models!$B$55*EXP(-EXP(Models!$D$55*(ChartData!B5+Models!$C$55+Models!$B$5*Models!$E$55+Models!$B$4*Models!$F$55)))</f>
        <v>38.992059864927853</v>
      </c>
      <c r="V5" s="36">
        <f>Models!$B$19*Models!$I$19+(100-Models!$B$19*Models!$I$19)/(1+EXP(Models!$C$19*(ChartData!$B5-Models!$E$19+Models!$B$5*ChartData!$B5*Models!$F$19+Models!$B$4*Models!$G$19)))</f>
        <v>92.737013055737279</v>
      </c>
      <c r="W5" s="36">
        <f>Models!$B$56*EXP(-EXP(Models!$D$56*(ChartData!B5+Models!$C$56+Models!$B$5*Models!$E$56+Models!$B$4*Models!$F$56)))</f>
        <v>73.749617390841507</v>
      </c>
      <c r="X5" s="158">
        <f>Models!$B$20*Models!$I$20+(100-Models!$B$20*Models!$I$20)/(1+EXP(Models!$C$20*(ChartData!$B5-Models!$E$20+Models!$B$5*ChartData!$B5*Models!$F$20+Models!$B$4*Models!$G$20)))</f>
        <v>92.629578285995578</v>
      </c>
      <c r="Y5" s="158">
        <f>Models!$B$57*EXP(-EXP(Models!$D$57*(ChartData!B5+Models!$C$57+Models!$B$5*Models!$E$57+Models!$B$4*Models!$F$57)))</f>
        <v>74.901624701323726</v>
      </c>
      <c r="Z5" s="165">
        <f>Models!$B$21*Models!$I$21+(100-Models!$B$21*Models!$I$21)/(1+EXP(Models!$C$21*(ChartData!$B5-Models!$E$21+Models!$B$5*ChartData!$B5*Models!$F$21+Models!$B$4*Models!$G$21)))</f>
        <v>93.707676817218868</v>
      </c>
      <c r="AA5" s="165">
        <f>Models!$B$58*EXP(-EXP(Models!$D$58*(ChartData!B5+Models!$C$58+Models!$B$5*Models!$E$58+Models!$B$4*Models!$F$58)))</f>
        <v>75.015830473353631</v>
      </c>
      <c r="AB5" s="146">
        <f>200/(1+EXP(Models!$D$22*((Models!$E$22*Models!$B$4+Models!$B$5)*ChartData!B5)))</f>
        <v>99.860417122251647</v>
      </c>
      <c r="AC5" s="146">
        <f>100*EXP(-EXP(Models!$D$59*(ChartData!B5-Models!$C$59+Models!$E$59*Models!$B$4+Models!$F$59*Models!$B$5)))</f>
        <v>67.8676217662927</v>
      </c>
      <c r="AD5" s="149">
        <f>200/(1+EXP(Models!$D$23*((Models!$E$23*Models!$B$4+Models!$B$5)*ChartData!B5)))</f>
        <v>99.797357146679062</v>
      </c>
      <c r="AE5" s="149">
        <f>100*EXP(-EXP(Models!$D$60*(ChartData!B5-Models!$C$60+Models!$E$60*Models!$B$4+Models!$F$60*Models!$B$5)))</f>
        <v>68.645918763276129</v>
      </c>
      <c r="AF5" s="153">
        <f>200/(1+EXP(Models!$D$24*((Models!$E$24*Models!$B$4+Models!$B$5)*ChartData!B5)))</f>
        <v>99.777191163103495</v>
      </c>
      <c r="AG5" s="153">
        <f>100*EXP(-EXP(Models!$D$61*(ChartData!B5-Models!$C$61+Models!$E$61*Models!$B$4+Models!$F$61*Models!$B$5)))</f>
        <v>68.814793134097613</v>
      </c>
      <c r="AH5" s="266">
        <f>IF('Front Page'!$C$31&gt;0,1-'Front Page'!$C$31,"")</f>
        <v>0.995</v>
      </c>
      <c r="AI5" s="214">
        <f>Models!$B$25*Models!$I$25+(200-Models!$B$25*Models!$I$25)/(1+EXP(Models!$C$25*B5*(Models!$B$4*Models!$F$25+Models!$B$5+Models!$I$25*Models!$G$25)))</f>
        <v>99.809961880191508</v>
      </c>
      <c r="AJ5" s="214">
        <f>100*EXP(-EXP(Models!$D$62*(ChartData!B5-Models!$C$62+Models!$E$62*Models!$B$4+Models!$F$62*Models!$B$5)))</f>
        <v>73.749369865634264</v>
      </c>
      <c r="AK5" s="220">
        <f>Models!$B$26*Models!$I$26+(200-Models!$B$26*Models!$I$26)/(1+EXP(Models!$C$26*B5*(Models!$B$4*Models!$F$26+Models!$B$5+Models!$I$26*Models!$G$26)))</f>
        <v>99.73082533997048</v>
      </c>
      <c r="AL5" s="220">
        <f>100*EXP(-EXP(Models!$D$63*(ChartData!B5-Models!$C$63+Models!$E$63*Models!$B$4+Models!$F$63*Models!$B$5)))</f>
        <v>74.901440795734516</v>
      </c>
      <c r="AM5" s="226">
        <f>Models!$B$27*Models!$I$27+(200-Models!$B$27*Models!$I$27)/(1+EXP(Models!$C$27*B5*(Models!$B$4*Models!$F$27+Models!$B$5+Models!$I$27*Models!$G$27)))</f>
        <v>107.00619403530951</v>
      </c>
      <c r="AN5" s="226">
        <f>100*EXP(-EXP(Models!$D$64*(ChartData!B5-Models!$C$64+Models!$E$64*Models!$B$4+Models!$F$64*Models!$B$5)))</f>
        <v>75.015470533748882</v>
      </c>
      <c r="AO5" s="232">
        <f>Models!$B$28*Models!$I$28+(200-Models!$B$28*Models!$I$28)/(1+EXP(Models!$C$28*B5*(Models!$B$4*Models!$F$28+Models!$B$5+Models!$I$28*Models!$G$28)))</f>
        <v>99.780931972790682</v>
      </c>
      <c r="AP5" s="232">
        <f>100*EXP(-EXP(Models!$D$65*(ChartData!B5-Models!$C$65+Models!$E$65*Models!$B$4+Models!$F$65*Models!$B$5)))</f>
        <v>30.523901021784326</v>
      </c>
      <c r="AQ5" s="238">
        <f>Models!$B$29*Models!$I$29+(200-Models!$B$29*Models!$I$29)/(1+EXP(Models!$C$29*B5*(Models!$B$4*Models!$F$29+Models!$B$5+Models!$I$29*Models!$G$29)))</f>
        <v>99.678422167862351</v>
      </c>
      <c r="AR5" s="238">
        <f>100*EXP(-EXP(Models!$D$66*(ChartData!B5-Models!$C$66+Models!$E$66*Models!$B$4+Models!$F$66*Models!$B$5)))</f>
        <v>38.991615159450419</v>
      </c>
      <c r="AS5" s="244">
        <f>Models!$B$30*Models!$I$30+(200-Models!$B$30*Models!$I$30)/(1+EXP(Models!$C$30*B5*(Models!$B$4*Models!$F$30+Models!$B$5+Models!$I$30*Models!$G$30)))</f>
        <v>104.41362071309432</v>
      </c>
      <c r="AT5" s="244">
        <f>100*EXP(-EXP(Models!$D$67*(ChartData!B5-Models!$C$67+Models!$E$67*Models!$B$4+Models!$F$67*Models!$B$5)))</f>
        <v>34.223189889159471</v>
      </c>
    </row>
    <row r="6" spans="1:46" x14ac:dyDescent="0.2">
      <c r="A6" s="14" t="s">
        <v>171</v>
      </c>
      <c r="B6">
        <v>30</v>
      </c>
      <c r="C6">
        <f>1-'Front Page'!$C$30</f>
        <v>0.99630303030303036</v>
      </c>
      <c r="D6" s="45">
        <f t="shared" si="0"/>
        <v>99.517635330231059</v>
      </c>
      <c r="E6" s="45">
        <f t="shared" si="1"/>
        <v>41.224577352062205</v>
      </c>
      <c r="F6" s="36">
        <f>Equations!$E$4/(1+EXP(Equations!$F$4*ChartData!B6*(Equations!$G$4*Equations!$C$4+Equations!$D$4)))</f>
        <v>99.713475372891523</v>
      </c>
      <c r="G6" s="36">
        <f>Equations!$E$7*EXP(-EXP(-Equations!$F$7*(ChartData!B6-Equations!$G$7+Equations!$H$7*Equations!$C$7+Equations!$I$7*Equations!$D$7)))</f>
        <v>74.468292161295651</v>
      </c>
      <c r="H6" s="55">
        <f>Models!$B$13+Models!$C$13*EXP(Models!$D$13*ChartData!B6+(Models!$E$13*ChartData!B6*Models!$E$3))</f>
        <v>99.095143736195638</v>
      </c>
      <c r="I6" s="55">
        <f>Models!$B$50*EXP(-EXP(Models!$D$50*(ChartData!B6+Models!$C$50-(Models!$E$50*Models!$B$5))))</f>
        <v>63.376095279412247</v>
      </c>
      <c r="J6" s="57">
        <f>Models!$B$12/(1+EXP(Models!$D$12*(ChartData!B6-Models!$C$12+Models!$E$12*ChartData!B6*Models!$B$5)))</f>
        <v>120.99976945197361</v>
      </c>
      <c r="K6" s="61">
        <f>Models!$B$49*EXP(-EXP(Models!$D$49*(ChartData!B6-Models!$C$49+(Models!$E$49*ChartData!B6*Models!$B$5))))</f>
        <v>2.061936609035814</v>
      </c>
      <c r="L6" s="62">
        <f>Models!$B$15/(1+EXP(Models!$D$15*(ChartData!B6*(1+Models!$D$15*Models!$B$5)-Models!$C$15)))</f>
        <v>98.114408072371774</v>
      </c>
      <c r="M6" s="63">
        <f>Models!$B$52*EXP(-EXP(Models!$D$52*(ChartData!B6*(1+Models!$D$52*Models!$B$5)-Models!$C$52)))</f>
        <v>2.3633395395234742</v>
      </c>
      <c r="N6" s="53">
        <f>Models!$B$15/(1+EXP(Models!$D$15*(ChartData!B6-Models!$D$15+Models!$E$15*ChartData!B6*Models!$B$5)))</f>
        <v>96.140033672417431</v>
      </c>
      <c r="O6" s="53">
        <f>Models!$B$52*EXP(-EXP(Models!$D$52*(ChartData!B6-Models!$C$52+Models!$E$52*ChartData!B6*Models!$B$5)))</f>
        <v>2.5824286308685784</v>
      </c>
      <c r="P6" s="172">
        <f>Models!$B$16*Models!$I$16+(100-Models!$B$16*Models!$I$16)/(1+EXP(Models!$C$16*(ChartData!B6-Models!$E$16+Models!$B$4*Models!$F$16+Models!$B$4*Models!$G$16*Models!$I$16+Models!$B$5*Models!$H$16)))</f>
        <v>98.673565919475664</v>
      </c>
      <c r="Q6" s="172">
        <f>Models!$B$53*EXP(-EXP(Models!$D$53*(ChartData!B6+Models!$C$53+Models!$B$5*Models!$E$53+Models!$B$4*Models!$F$53)))</f>
        <v>39.011953623526587</v>
      </c>
      <c r="R6" s="136">
        <f>Models!$B$17*Models!$I$17+(100-Models!$B$17*Models!$I$17)/(1+EXP(Models!$C$17*(ChartData!B6-Models!$E$17+Models!$B$4*Models!$F$17+Models!$B$4*Models!$G$17*Models!$I$17+Models!$B$5*Models!$H$17)))</f>
        <v>98.87742679243155</v>
      </c>
      <c r="S6" s="136">
        <f>Models!$B$54*EXP(-EXP(Models!$D$54*(ChartData!B6+Models!$C$54+Models!$B$5*Models!$E$54+Models!$B$4*Models!$F$54)))</f>
        <v>31.876321406940161</v>
      </c>
      <c r="T6" s="180">
        <f>Models!$B$18*Models!$I$18+(100-Models!$B$18*Models!$I$18)/(1+EXP(Models!$C$18*(ChartData!B6-Models!$E$18+Models!$B$4*Models!$F$18+Models!$B$4*Models!$G$18*Models!$I$18+Models!$B$5*Models!$H$18)))</f>
        <v>98.866151107100066</v>
      </c>
      <c r="U6" s="180">
        <f>Models!$B$55*EXP(-EXP(Models!$D$55*(ChartData!B6+Models!$C$55+Models!$B$5*Models!$E$55+Models!$B$4*Models!$F$55)))</f>
        <v>41.225056254887917</v>
      </c>
      <c r="V6" s="36">
        <f>Models!$B$19*Models!$I$19+(100-Models!$B$19*Models!$I$19)/(1+EXP(Models!$C$19*(ChartData!$B6-Models!$E$19+Models!$B$5*ChartData!$B6*Models!$F$19+Models!$B$4*Models!$G$19)))</f>
        <v>92.694932408025096</v>
      </c>
      <c r="W6" s="36">
        <f>Models!$B$56*EXP(-EXP(Models!$D$56*(ChartData!B6+Models!$C$56+Models!$B$5*Models!$E$56+Models!$B$4*Models!$F$56)))</f>
        <v>74.364293113591941</v>
      </c>
      <c r="X6" s="158">
        <f>Models!$B$20*Models!$I$20+(100-Models!$B$20*Models!$I$20)/(1+EXP(Models!$C$20*(ChartData!$B6-Models!$E$20+Models!$B$5*ChartData!$B6*Models!$F$20+Models!$B$4*Models!$G$20)))</f>
        <v>92.566607740423891</v>
      </c>
      <c r="Y6" s="158">
        <f>Models!$B$57*EXP(-EXP(Models!$D$57*(ChartData!B6+Models!$C$57+Models!$B$5*Models!$E$57+Models!$B$4*Models!$F$57)))</f>
        <v>75.793257523556505</v>
      </c>
      <c r="Z6" s="165">
        <f>Models!$B$21*Models!$I$21+(100-Models!$B$21*Models!$I$21)/(1+EXP(Models!$C$21*(ChartData!$B6-Models!$E$21+Models!$B$5*ChartData!$B6*Models!$F$21+Models!$B$4*Models!$G$21)))</f>
        <v>93.648514508012354</v>
      </c>
      <c r="AA6" s="165">
        <f>Models!$B$58*EXP(-EXP(Models!$D$58*(ChartData!B6+Models!$C$58+Models!$B$5*Models!$E$58+Models!$B$4*Models!$F$58)))</f>
        <v>75.95257552267077</v>
      </c>
      <c r="AB6" s="146">
        <f>200/(1+EXP(Models!$D$22*((Models!$E$22*Models!$B$4+Models!$B$5)*ChartData!B6)))</f>
        <v>99.790625853349013</v>
      </c>
      <c r="AC6" s="146">
        <f>100*EXP(-EXP(Models!$D$59*(ChartData!B6-Models!$C$59+Models!$E$59*Models!$B$4+Models!$F$59*Models!$B$5)))</f>
        <v>68.37360543097688</v>
      </c>
      <c r="AD6" s="149">
        <f>200/(1+EXP(Models!$D$23*((Models!$E$23*Models!$B$4+Models!$B$5)*ChartData!B6)))</f>
        <v>99.69603624010243</v>
      </c>
      <c r="AE6" s="149">
        <f>100*EXP(-EXP(Models!$D$60*(ChartData!B6-Models!$C$60+Models!$E$60*Models!$B$4+Models!$F$60*Models!$B$5)))</f>
        <v>69.380316497689648</v>
      </c>
      <c r="AF6" s="153">
        <f>200/(1+EXP(Models!$D$24*((Models!$E$24*Models!$B$4+Models!$B$5)*ChartData!B6)))</f>
        <v>99.665787435971268</v>
      </c>
      <c r="AG6" s="153">
        <f>100*EXP(-EXP(Models!$D$61*(ChartData!B6-Models!$C$61+Models!$E$61*Models!$B$4+Models!$F$61*Models!$B$5)))</f>
        <v>69.600506482277439</v>
      </c>
      <c r="AH6" s="266">
        <f>IF('Front Page'!$C$31&gt;0,1-'Front Page'!$C$31,"")</f>
        <v>0.995</v>
      </c>
      <c r="AI6" s="214">
        <f>Models!$B$25*Models!$I$25+(200-Models!$B$25*Models!$I$25)/(1+EXP(Models!$C$25*B6*(Models!$B$4*Models!$F$25+Models!$B$5+Models!$I$25*Models!$G$25)))</f>
        <v>99.714943249232348</v>
      </c>
      <c r="AJ6" s="214">
        <f>100*EXP(-EXP(Models!$D$62*(ChartData!B6-Models!$C$62+Models!$E$62*Models!$B$4+Models!$F$62*Models!$B$5)))</f>
        <v>74.364050328766737</v>
      </c>
      <c r="AK6" s="220">
        <f>Models!$B$26*Models!$I$26+(200-Models!$B$26*Models!$I$26)/(1+EXP(Models!$C$26*B6*(Models!$B$4*Models!$F$26+Models!$B$5+Models!$I$26*Models!$G$26)))</f>
        <v>99.596239228893637</v>
      </c>
      <c r="AL6" s="220">
        <f>100*EXP(-EXP(Models!$D$63*(ChartData!B6-Models!$C$63+Models!$E$63*Models!$B$4+Models!$F$63*Models!$B$5)))</f>
        <v>75.793058041889978</v>
      </c>
      <c r="AM6" s="226">
        <f>Models!$B$27*Models!$I$27+(200-Models!$B$27*Models!$I$27)/(1+EXP(Models!$C$27*B6*(Models!$B$4*Models!$F$27+Models!$B$5+Models!$I$27*Models!$G$27)))</f>
        <v>106.61574856165022</v>
      </c>
      <c r="AN6" s="226">
        <f>100*EXP(-EXP(Models!$D$64*(ChartData!B6-Models!$C$64+Models!$E$64*Models!$B$4+Models!$F$64*Models!$B$5)))</f>
        <v>75.952226820795588</v>
      </c>
      <c r="AO6" s="232">
        <f>Models!$B$28*Models!$I$28+(200-Models!$B$28*Models!$I$28)/(1+EXP(Models!$C$28*B6*(Models!$B$4*Models!$F$28+Models!$B$5+Models!$I$28*Models!$G$28)))</f>
        <v>99.67139861626319</v>
      </c>
      <c r="AP6" s="232">
        <f>100*EXP(-EXP(Models!$D$65*(ChartData!B6-Models!$C$65+Models!$E$65*Models!$B$4+Models!$F$65*Models!$B$5)))</f>
        <v>31.883170169992542</v>
      </c>
      <c r="AQ6" s="238">
        <f>Models!$B$29*Models!$I$29+(200-Models!$B$29*Models!$I$29)/(1+EXP(Models!$C$29*B6*(Models!$B$4*Models!$F$29+Models!$B$5+Models!$I$29*Models!$G$29)))</f>
        <v>99.517635330231059</v>
      </c>
      <c r="AR6" s="238">
        <f>100*EXP(-EXP(Models!$D$66*(ChartData!B6-Models!$C$66+Models!$E$66*Models!$B$4+Models!$F$66*Models!$B$5)))</f>
        <v>41.224577352062205</v>
      </c>
      <c r="AS6" s="244">
        <f>Models!$B$30*Models!$I$30+(200-Models!$B$30*Models!$I$30)/(1+EXP(Models!$C$30*B6*(Models!$B$4*Models!$F$30+Models!$B$5+Models!$I$30*Models!$G$30)))</f>
        <v>104.21327608263262</v>
      </c>
      <c r="AT6" s="244">
        <f>100*EXP(-EXP(Models!$D$67*(ChartData!B6-Models!$C$67+Models!$E$67*Models!$B$4+Models!$F$67*Models!$B$5)))</f>
        <v>36.039882803015551</v>
      </c>
    </row>
    <row r="7" spans="1:46" x14ac:dyDescent="0.2">
      <c r="A7" s="14" t="s">
        <v>172</v>
      </c>
      <c r="B7">
        <v>40</v>
      </c>
      <c r="C7">
        <f>1-'Front Page'!$C$30</f>
        <v>0.99630303030303036</v>
      </c>
      <c r="D7" s="45">
        <f t="shared" si="0"/>
        <v>99.35685098667669</v>
      </c>
      <c r="E7" s="45">
        <f t="shared" si="1"/>
        <v>43.442138139728975</v>
      </c>
      <c r="F7" s="36">
        <f>Equations!$E$4/(1+EXP(Equations!$F$4*ChartData!B7*(Equations!$G$4*Equations!$C$4+Equations!$D$4)))</f>
        <v>99.617967976982527</v>
      </c>
      <c r="G7" s="36">
        <f>Equations!$E$7*EXP(-EXP(-Equations!$F$7*(ChartData!B7-Equations!$G$7+Equations!$H$7*Equations!$C$7+Equations!$I$7*Equations!$D$7)))</f>
        <v>75.196238582831413</v>
      </c>
      <c r="H7" s="55">
        <f>Models!$B$13+Models!$C$13*EXP(Models!$D$13*ChartData!B7+(Models!$E$13*ChartData!B7*Models!$E$3))</f>
        <v>98.795774068855366</v>
      </c>
      <c r="I7" s="55">
        <f>Models!$B$50*EXP(-EXP(Models!$D$50*(ChartData!B7+Models!$C$50-(Models!$E$50*Models!$B$5))))</f>
        <v>64.028174618638971</v>
      </c>
      <c r="J7" s="57">
        <f>Models!$B$12/(1+EXP(Models!$D$12*(ChartData!B7-Models!$C$12+Models!$E$12*ChartData!B7*Models!$B$5)))</f>
        <v>120.99966765341441</v>
      </c>
      <c r="K7" s="61">
        <f>Models!$B$49*EXP(-EXP(Models!$D$49*(ChartData!B7-Models!$C$49+(Models!$E$49*ChartData!B7*Models!$B$5))))</f>
        <v>2.6818569107170376</v>
      </c>
      <c r="L7" s="62">
        <f>Models!$B$15/(1+EXP(Models!$D$15*(ChartData!B7*(1+Models!$D$15*Models!$B$5)-Models!$C$15)))</f>
        <v>96.965546701435116</v>
      </c>
      <c r="M7" s="63">
        <f>Models!$B$52*EXP(-EXP(Models!$D$52*(ChartData!B7*(1+Models!$D$52*Models!$B$5)-Models!$C$52)))</f>
        <v>3.1152595458125232</v>
      </c>
      <c r="N7" s="53">
        <f>Models!$B$15/(1+EXP(Models!$D$15*(ChartData!B7-Models!$D$15+Models!$E$15*ChartData!B7*Models!$B$5)))</f>
        <v>94.855280030256779</v>
      </c>
      <c r="O7" s="53">
        <f>Models!$B$52*EXP(-EXP(Models!$D$52*(ChartData!B7-Models!$C$52+Models!$E$52*ChartData!B7*Models!$B$5)))</f>
        <v>3.4742044235059644</v>
      </c>
      <c r="P7" s="172">
        <f>Models!$B$16*Models!$I$16+(100-Models!$B$16*Models!$I$16)/(1+EXP(Models!$C$16*(ChartData!B7-Models!$E$16+Models!$B$4*Models!$F$16+Models!$B$4*Models!$G$16*Models!$I$16+Models!$B$5*Models!$H$16)))</f>
        <v>98.643243598097001</v>
      </c>
      <c r="Q7" s="172">
        <f>Models!$B$53*EXP(-EXP(Models!$D$53*(ChartData!B7+Models!$C$53+Models!$B$5*Models!$E$53+Models!$B$4*Models!$F$53)))</f>
        <v>41.06701347151207</v>
      </c>
      <c r="R7" s="136">
        <f>Models!$B$17*Models!$I$17+(100-Models!$B$17*Models!$I$17)/(1+EXP(Models!$C$17*(ChartData!B7-Models!$E$17+Models!$B$4*Models!$F$17+Models!$B$4*Models!$G$17*Models!$I$17+Models!$B$5*Models!$H$17)))</f>
        <v>98.857084105202887</v>
      </c>
      <c r="S7" s="136">
        <f>Models!$B$54*EXP(-EXP(Models!$D$54*(ChartData!B7+Models!$C$54+Models!$B$5*Models!$E$54+Models!$B$4*Models!$F$54)))</f>
        <v>33.242860032567187</v>
      </c>
      <c r="T7" s="180">
        <f>Models!$B$18*Models!$I$18+(100-Models!$B$18*Models!$I$18)/(1+EXP(Models!$C$18*(ChartData!B7-Models!$E$18+Models!$B$4*Models!$F$18+Models!$B$4*Models!$G$18*Models!$I$18+Models!$B$5*Models!$H$18)))</f>
        <v>98.835419448417539</v>
      </c>
      <c r="U7" s="180">
        <f>Models!$B$55*EXP(-EXP(Models!$D$55*(ChartData!B7+Models!$C$55+Models!$B$5*Models!$E$55+Models!$B$4*Models!$F$55)))</f>
        <v>43.442649183314003</v>
      </c>
      <c r="V7" s="36">
        <f>Models!$B$19*Models!$I$19+(100-Models!$B$19*Models!$I$19)/(1+EXP(Models!$C$19*(ChartData!$B7-Models!$E$19+Models!$B$5*ChartData!$B7*Models!$F$19+Models!$B$4*Models!$G$19)))</f>
        <v>92.652627267909807</v>
      </c>
      <c r="W7" s="36">
        <f>Models!$B$56*EXP(-EXP(Models!$D$56*(ChartData!B7+Models!$C$56+Models!$B$5*Models!$E$56+Models!$B$4*Models!$F$56)))</f>
        <v>74.967128795150288</v>
      </c>
      <c r="X7" s="158">
        <f>Models!$B$20*Models!$I$20+(100-Models!$B$20*Models!$I$20)/(1+EXP(Models!$C$20*(ChartData!$B7-Models!$E$20+Models!$B$5*ChartData!$B7*Models!$F$20+Models!$B$4*Models!$G$20)))</f>
        <v>92.503142736858749</v>
      </c>
      <c r="Y7" s="158">
        <f>Models!$B$57*EXP(-EXP(Models!$D$57*(ChartData!B7+Models!$C$57+Models!$B$5*Models!$E$57+Models!$B$4*Models!$F$57)))</f>
        <v>76.658349140615741</v>
      </c>
      <c r="Z7" s="165">
        <f>Models!$B$21*Models!$I$21+(100-Models!$B$21*Models!$I$21)/(1+EXP(Models!$C$21*(ChartData!$B7-Models!$E$21+Models!$B$5*ChartData!$B7*Models!$F$21+Models!$B$4*Models!$G$21)))</f>
        <v>93.588840114840082</v>
      </c>
      <c r="AA7" s="165">
        <f>Models!$B$58*EXP(-EXP(Models!$D$58*(ChartData!B7+Models!$C$58+Models!$B$5*Models!$E$58+Models!$B$4*Models!$F$58)))</f>
        <v>76.859830669907069</v>
      </c>
      <c r="AB7" s="146">
        <f>200/(1+EXP(Models!$D$22*((Models!$E$22*Models!$B$4+Models!$B$5)*ChartData!B7)))</f>
        <v>99.720834788411494</v>
      </c>
      <c r="AC7" s="146">
        <f>100*EXP(-EXP(Models!$D$59*(ChartData!B7-Models!$C$59+Models!$E$59*Models!$B$4+Models!$F$59*Models!$B$5)))</f>
        <v>68.873557346263411</v>
      </c>
      <c r="AD7" s="149">
        <f>200/(1+EXP(Models!$D$23*((Models!$E$23*Models!$B$4+Models!$B$5)*ChartData!B7)))</f>
        <v>99.594715957621645</v>
      </c>
      <c r="AE7" s="149">
        <f>100*EXP(-EXP(Models!$D$60*(ChartData!B7-Models!$C$60+Models!$E$60*Models!$B$4+Models!$F$60*Models!$B$5)))</f>
        <v>70.101466749840341</v>
      </c>
      <c r="AF7" s="153">
        <f>200/(1+EXP(Models!$D$24*((Models!$E$24*Models!$B$4+Models!$B$5)*ChartData!B7)))</f>
        <v>99.554384538410531</v>
      </c>
      <c r="AG7" s="153">
        <f>100*EXP(-EXP(Models!$D$61*(ChartData!B7-Models!$C$61+Models!$E$61*Models!$B$4+Models!$F$61*Models!$B$5)))</f>
        <v>70.370918440306951</v>
      </c>
      <c r="AH7" s="266">
        <f>IF('Front Page'!$C$31&gt;0,1-'Front Page'!$C$31,"")</f>
        <v>0.995</v>
      </c>
      <c r="AI7" s="214">
        <f>Models!$B$25*Models!$I$25+(200-Models!$B$25*Models!$I$25)/(1+EXP(Models!$C$25*B7*(Models!$B$4*Models!$F$25+Models!$B$5+Models!$I$25*Models!$G$25)))</f>
        <v>99.619925133003875</v>
      </c>
      <c r="AJ7" s="214">
        <f>100*EXP(-EXP(Models!$D$62*(ChartData!B7-Models!$C$62+Models!$E$62*Models!$B$4+Models!$F$62*Models!$B$5)))</f>
        <v>74.966890713795536</v>
      </c>
      <c r="AK7" s="220">
        <f>Models!$B$26*Models!$I$26+(200-Models!$B$26*Models!$I$26)/(1+EXP(Models!$C$26*B7*(Models!$B$4*Models!$F$26+Models!$B$5+Models!$I$26*Models!$G$26)))</f>
        <v>99.461654580522563</v>
      </c>
      <c r="AL7" s="220">
        <f>100*EXP(-EXP(Models!$D$63*(ChartData!B7-Models!$C$63+Models!$E$63*Models!$B$4+Models!$F$63*Models!$B$5)))</f>
        <v>76.658135266866751</v>
      </c>
      <c r="AM7" s="226">
        <f>Models!$B$27*Models!$I$27+(200-Models!$B$27*Models!$I$27)/(1+EXP(Models!$C$27*B7*(Models!$B$4*Models!$F$27+Models!$B$5+Models!$I$27*Models!$G$27)))</f>
        <v>106.22534509278981</v>
      </c>
      <c r="AN7" s="226">
        <f>100*EXP(-EXP(Models!$D$64*(ChartData!B7-Models!$C$64+Models!$E$64*Models!$B$4+Models!$F$64*Models!$B$5)))</f>
        <v>76.859493035837971</v>
      </c>
      <c r="AO7" s="232">
        <f>Models!$B$28*Models!$I$28+(200-Models!$B$28*Models!$I$28)/(1+EXP(Models!$C$28*B7*(Models!$B$4*Models!$F$28+Models!$B$5+Models!$I$28*Models!$G$28)))</f>
        <v>99.561866048221248</v>
      </c>
      <c r="AP7" s="232">
        <f>100*EXP(-EXP(Models!$D$65*(ChartData!B7-Models!$C$65+Models!$E$65*Models!$B$4+Models!$F$65*Models!$B$5)))</f>
        <v>33.249740142740812</v>
      </c>
      <c r="AQ7" s="238">
        <f>Models!$B$29*Models!$I$29+(200-Models!$B$29*Models!$I$29)/(1+EXP(Models!$C$29*B7*(Models!$B$4*Models!$F$29+Models!$B$5+Models!$I$29*Models!$G$29)))</f>
        <v>99.35685098667669</v>
      </c>
      <c r="AR7" s="238">
        <f>100*EXP(-EXP(Models!$D$66*(ChartData!B7-Models!$C$66+Models!$E$66*Models!$B$4+Models!$F$66*Models!$B$5)))</f>
        <v>43.442138139728975</v>
      </c>
      <c r="AS7" s="244">
        <f>Models!$B$30*Models!$I$30+(200-Models!$B$30*Models!$I$30)/(1+EXP(Models!$C$30*B7*(Models!$B$4*Models!$F$30+Models!$B$5+Models!$I$30*Models!$G$30)))</f>
        <v>104.01293677758419</v>
      </c>
      <c r="AT7" s="244">
        <f>100*EXP(-EXP(Models!$D$67*(ChartData!B7-Models!$C$67+Models!$E$67*Models!$B$4+Models!$F$67*Models!$B$5)))</f>
        <v>37.858440122637283</v>
      </c>
    </row>
    <row r="8" spans="1:46" x14ac:dyDescent="0.2">
      <c r="A8" s="14" t="s">
        <v>173</v>
      </c>
      <c r="B8">
        <v>50</v>
      </c>
      <c r="C8">
        <f>1-'Front Page'!$C$30</f>
        <v>0.99630303030303036</v>
      </c>
      <c r="D8" s="45">
        <f t="shared" si="0"/>
        <v>99.196069968477971</v>
      </c>
      <c r="E8" s="45">
        <f t="shared" si="1"/>
        <v>45.637381674696563</v>
      </c>
      <c r="F8" s="36">
        <f>Equations!$E$4/(1+EXP(Equations!$F$4*ChartData!B8*(Equations!$G$4*Equations!$C$4+Equations!$D$4)))</f>
        <v>99.522461278032083</v>
      </c>
      <c r="G8" s="36">
        <f>Equations!$E$7*EXP(-EXP(-Equations!$F$7*(ChartData!B8-Equations!$G$7+Equations!$H$7*Equations!$C$7+Equations!$I$7*Equations!$D$7)))</f>
        <v>75.906930820271214</v>
      </c>
      <c r="H8" s="55">
        <f>Models!$B$13+Models!$C$13*EXP(Models!$D$13*ChartData!B8+(Models!$E$13*ChartData!B8*Models!$E$3))</f>
        <v>98.497521952947125</v>
      </c>
      <c r="I8" s="55">
        <f>Models!$B$50*EXP(-EXP(Models!$D$50*(ChartData!B8+Models!$C$50-(Models!$E$50*Models!$B$5))))</f>
        <v>64.672103084525347</v>
      </c>
      <c r="J8" s="57">
        <f>Models!$B$12/(1+EXP(Models!$D$12*(ChartData!B8-Models!$C$12+Models!$E$12*ChartData!B8*Models!$B$5)))</f>
        <v>120.99952090584489</v>
      </c>
      <c r="K8" s="61">
        <f>Models!$B$49*EXP(-EXP(Models!$D$49*(ChartData!B8-Models!$C$49+(Models!$E$49*ChartData!B8*Models!$B$5))))</f>
        <v>3.4266106177569693</v>
      </c>
      <c r="L8" s="62">
        <f>Models!$B$15/(1+EXP(Models!$D$15*(ChartData!B8*(1+Models!$D$15*Models!$B$5)-Models!$C$15)))</f>
        <v>95.817486533944063</v>
      </c>
      <c r="M8" s="63">
        <f>Models!$B$52*EXP(-EXP(Models!$D$52*(ChartData!B8*(1+Models!$D$52*Models!$B$5)-Models!$C$52)))</f>
        <v>4.0235883872557059</v>
      </c>
      <c r="N8" s="53">
        <f>Models!$B$15/(1+EXP(Models!$D$15*(ChartData!B8-Models!$D$15+Models!$E$15*ChartData!B8*Models!$B$5)))</f>
        <v>93.572227007848014</v>
      </c>
      <c r="O8" s="53">
        <f>Models!$B$52*EXP(-EXP(Models!$D$52*(ChartData!B8-Models!$C$52+Models!$E$52*ChartData!B8*Models!$B$5)))</f>
        <v>4.5627963536624838</v>
      </c>
      <c r="P8" s="172">
        <f>Models!$B$16*Models!$I$16+(100-Models!$B$16*Models!$I$16)/(1+EXP(Models!$C$16*(ChartData!B8-Models!$E$16+Models!$B$4*Models!$F$16+Models!$B$4*Models!$G$16*Models!$I$16+Models!$B$5*Models!$H$16)))</f>
        <v>98.612237856427143</v>
      </c>
      <c r="Q8" s="172">
        <f>Models!$B$53*EXP(-EXP(Models!$D$53*(ChartData!B8+Models!$C$53+Models!$B$5*Models!$E$53+Models!$B$4*Models!$F$53)))</f>
        <v>43.109460275971315</v>
      </c>
      <c r="R8" s="136">
        <f>Models!$B$17*Models!$I$17+(100-Models!$B$17*Models!$I$17)/(1+EXP(Models!$C$17*(ChartData!B8-Models!$E$17+Models!$B$4*Models!$F$17+Models!$B$4*Models!$G$17*Models!$I$17+Models!$B$5*Models!$H$17)))</f>
        <v>98.836377116662092</v>
      </c>
      <c r="S8" s="136">
        <f>Models!$B$54*EXP(-EXP(Models!$D$54*(ChartData!B8+Models!$C$54+Models!$B$5*Models!$E$54+Models!$B$4*Models!$F$54)))</f>
        <v>34.614594075800362</v>
      </c>
      <c r="T8" s="180">
        <f>Models!$B$18*Models!$I$18+(100-Models!$B$18*Models!$I$18)/(1+EXP(Models!$C$18*(ChartData!B8-Models!$E$18+Models!$B$4*Models!$F$18+Models!$B$4*Models!$G$18*Models!$I$18+Models!$B$5*Models!$H$18)))</f>
        <v>98.803865831088359</v>
      </c>
      <c r="U8" s="180">
        <f>Models!$B$55*EXP(-EXP(Models!$D$55*(ChartData!B8+Models!$C$55+Models!$B$5*Models!$E$55+Models!$B$4*Models!$F$55)))</f>
        <v>45.637922598433086</v>
      </c>
      <c r="V8" s="36">
        <f>Models!$B$19*Models!$I$19+(100-Models!$B$19*Models!$I$19)/(1+EXP(Models!$C$19*(ChartData!$B8-Models!$E$19+Models!$B$5*ChartData!$B8*Models!$F$19+Models!$B$4*Models!$G$19)))</f>
        <v>92.610096661991818</v>
      </c>
      <c r="W8" s="36">
        <f>Models!$B$56*EXP(-EXP(Models!$D$56*(ChartData!B8+Models!$C$56+Models!$B$5*Models!$E$56+Models!$B$4*Models!$F$56)))</f>
        <v>75.55822058054919</v>
      </c>
      <c r="X8" s="158">
        <f>Models!$B$20*Models!$I$20+(100-Models!$B$20*Models!$I$20)/(1+EXP(Models!$C$20*(ChartData!$B8-Models!$E$20+Models!$B$5*ChartData!$B8*Models!$F$20+Models!$B$4*Models!$G$20)))</f>
        <v>92.439180138629169</v>
      </c>
      <c r="Y8" s="158">
        <f>Models!$B$57*EXP(-EXP(Models!$D$57*(ChartData!B8+Models!$C$57+Models!$B$5*Models!$E$57+Models!$B$4*Models!$F$57)))</f>
        <v>77.497291338645255</v>
      </c>
      <c r="Z8" s="165">
        <f>Models!$B$21*Models!$I$21+(100-Models!$B$21*Models!$I$21)/(1+EXP(Models!$C$21*(ChartData!$B8-Models!$E$21+Models!$B$5*ChartData!$B8*Models!$F$21+Models!$B$4*Models!$G$21)))</f>
        <v>93.528650038420977</v>
      </c>
      <c r="AA8" s="165">
        <f>Models!$B$58*EXP(-EXP(Models!$D$58*(ChartData!B8+Models!$C$58+Models!$B$5*Models!$E$58+Models!$B$4*Models!$F$58)))</f>
        <v>77.738063871294315</v>
      </c>
      <c r="AB8" s="146">
        <f>200/(1+EXP(Models!$D$22*((Models!$E$22*Models!$B$4+Models!$B$5)*ChartData!B8)))</f>
        <v>99.651043995426178</v>
      </c>
      <c r="AC8" s="146">
        <f>100*EXP(-EXP(Models!$D$59*(ChartData!B8-Models!$C$59+Models!$E$59*Models!$B$4+Models!$F$59*Models!$B$5)))</f>
        <v>69.367479781625789</v>
      </c>
      <c r="AD8" s="149">
        <f>200/(1+EXP(Models!$D$23*((Models!$E$23*Models!$B$4+Models!$B$5)*ChartData!B8)))</f>
        <v>99.493396507260613</v>
      </c>
      <c r="AE8" s="149">
        <f>100*EXP(-EXP(Models!$D$60*(ChartData!B8-Models!$C$60+Models!$E$60*Models!$B$4+Models!$F$60*Models!$B$5)))</f>
        <v>70.809398384809697</v>
      </c>
      <c r="AF8" s="153">
        <f>200/(1+EXP(Models!$D$24*((Models!$E$24*Models!$B$4+Models!$B$5)*ChartData!B8)))</f>
        <v>99.442982746932316</v>
      </c>
      <c r="AG8" s="153">
        <f>100*EXP(-EXP(Models!$D$61*(ChartData!B8-Models!$C$61+Models!$E$61*Models!$B$4+Models!$F$61*Models!$B$5)))</f>
        <v>71.126070497760878</v>
      </c>
      <c r="AH8" s="266">
        <f>IF('Front Page'!$C$31&gt;0,1-'Front Page'!$C$31,"")</f>
        <v>0.995</v>
      </c>
      <c r="AI8" s="214">
        <f>Models!$B$25*Models!$I$25+(200-Models!$B$25*Models!$I$25)/(1+EXP(Models!$C$25*B8*(Models!$B$4*Models!$F$25+Models!$B$5+Models!$I$25*Models!$G$25)))</f>
        <v>99.524907703077176</v>
      </c>
      <c r="AJ8" s="214">
        <f>100*EXP(-EXP(Models!$D$62*(ChartData!B8-Models!$C$62+Models!$E$62*Models!$B$4+Models!$F$62*Models!$B$5)))</f>
        <v>75.557987162921407</v>
      </c>
      <c r="AK8" s="220">
        <f>Models!$B$26*Models!$I$26+(200-Models!$B$26*Models!$I$26)/(1+EXP(Models!$C$26*B8*(Models!$B$4*Models!$F$26+Models!$B$5+Models!$I$26*Models!$G$26)))</f>
        <v>99.327071882392815</v>
      </c>
      <c r="AL8" s="220">
        <f>100*EXP(-EXP(Models!$D$63*(ChartData!B8-Models!$C$63+Models!$E$63*Models!$B$4+Models!$F$63*Models!$B$5)))</f>
        <v>77.497064221489055</v>
      </c>
      <c r="AM8" s="226">
        <f>Models!$B$27*Models!$I$27+(200-Models!$B$27*Models!$I$27)/(1+EXP(Models!$C$27*B8*(Models!$B$4*Models!$F$27+Models!$B$5+Models!$I$27*Models!$G$27)))</f>
        <v>105.83499762095586</v>
      </c>
      <c r="AN8" s="226">
        <f>100*EXP(-EXP(Models!$D$64*(ChartData!B8-Models!$C$64+Models!$E$64*Models!$B$4+Models!$F$64*Models!$B$5)))</f>
        <v>77.737737121276851</v>
      </c>
      <c r="AO8" s="232">
        <f>Models!$B$28*Models!$I$28+(200-Models!$B$28*Models!$I$28)/(1+EXP(Models!$C$28*B8*(Models!$B$4*Models!$F$28+Models!$B$5+Models!$I$28*Models!$G$28)))</f>
        <v>99.45233453148164</v>
      </c>
      <c r="AP8" s="232">
        <f>100*EXP(-EXP(Models!$D$65*(ChartData!B8-Models!$C$65+Models!$E$65*Models!$B$4+Models!$F$65*Models!$B$5)))</f>
        <v>34.621495033819905</v>
      </c>
      <c r="AQ8" s="238">
        <f>Models!$B$29*Models!$I$29+(200-Models!$B$29*Models!$I$29)/(1+EXP(Models!$C$29*B8*(Models!$B$4*Models!$F$29+Models!$B$5+Models!$I$29*Models!$G$29)))</f>
        <v>99.196069968477971</v>
      </c>
      <c r="AR8" s="238">
        <f>100*EXP(-EXP(Models!$D$66*(ChartData!B8-Models!$C$66+Models!$E$66*Models!$B$4+Models!$F$66*Models!$B$5)))</f>
        <v>45.637381674696563</v>
      </c>
      <c r="AS8" s="244">
        <f>Models!$B$30*Models!$I$30+(200-Models!$B$30*Models!$I$30)/(1+EXP(Models!$C$30*B8*(Models!$B$4*Models!$F$30+Models!$B$5+Models!$I$30*Models!$G$30)))</f>
        <v>103.81260457279315</v>
      </c>
      <c r="AT8" s="244">
        <f>100*EXP(-EXP(Models!$D$67*(ChartData!B8-Models!$C$67+Models!$E$67*Models!$B$4+Models!$F$67*Models!$B$5)))</f>
        <v>39.674438646904562</v>
      </c>
    </row>
    <row r="9" spans="1:46" ht="13.5" thickBot="1" x14ac:dyDescent="0.25">
      <c r="B9">
        <v>60</v>
      </c>
      <c r="C9">
        <f>1-'Front Page'!$C$30</f>
        <v>0.99630303030303036</v>
      </c>
      <c r="D9" s="45">
        <f t="shared" si="0"/>
        <v>99.035293106844833</v>
      </c>
      <c r="E9" s="45">
        <f t="shared" si="1"/>
        <v>47.804012204213272</v>
      </c>
      <c r="F9" s="36">
        <f>Equations!$E$4/(1+EXP(Equations!$F$4*ChartData!B9*(Equations!$G$4*Equations!$C$4+Equations!$D$4)))</f>
        <v>99.426955450270299</v>
      </c>
      <c r="G9" s="36">
        <f>Equations!$E$7*EXP(-EXP(-Equations!$F$7*(ChartData!B9-Equations!$G$7+Equations!$H$7*Equations!$C$7+Equations!$I$7*Equations!$D$7)))</f>
        <v>76.600558837612098</v>
      </c>
      <c r="H9" s="55">
        <f>Models!$B$13+Models!$C$13*EXP(Models!$D$13*ChartData!B9+(Models!$E$13*ChartData!B9*Models!$E$3))</f>
        <v>98.200383216634748</v>
      </c>
      <c r="I9" s="55">
        <f>Models!$B$50*EXP(-EXP(Models!$D$50*(ChartData!B9+Models!$C$50-(Models!$E$50*Models!$B$5))))</f>
        <v>65.307838129332879</v>
      </c>
      <c r="J9" s="57">
        <f>Models!$B$12/(1+EXP(Models!$D$12*(ChartData!B9-Models!$C$12+Models!$E$12*ChartData!B9*Models!$B$5)))</f>
        <v>120.99930936228472</v>
      </c>
      <c r="K9" s="61">
        <f>Models!$B$49*EXP(-EXP(Models!$D$49*(ChartData!B9-Models!$C$49+(Models!$E$49*ChartData!B9*Models!$B$5))))</f>
        <v>4.3061220716061239</v>
      </c>
      <c r="L9" s="62">
        <f>Models!$B$15/(1+EXP(Models!$D$15*(ChartData!B9*(1+Models!$D$15*Models!$B$5)-Models!$C$15)))</f>
        <v>94.670529782840333</v>
      </c>
      <c r="M9" s="63">
        <f>Models!$B$52*EXP(-EXP(Models!$D$52*(ChartData!B9*(1+Models!$D$52*Models!$B$5)-Models!$C$52)))</f>
        <v>5.0996073355446701</v>
      </c>
      <c r="N9" s="53">
        <f>Models!$B$15/(1+EXP(Models!$D$15*(ChartData!B9-Models!$D$15+Models!$E$15*ChartData!B9*Models!$B$5)))</f>
        <v>92.291295563797519</v>
      </c>
      <c r="O9" s="53">
        <f>Models!$B$52*EXP(-EXP(Models!$D$52*(ChartData!B9-Models!$C$52+Models!$E$52*ChartData!B9*Models!$B$5)))</f>
        <v>5.861427006998845</v>
      </c>
      <c r="P9" s="172">
        <f>Models!$B$16*Models!$I$16+(100-Models!$B$16*Models!$I$16)/(1+EXP(Models!$C$16*(ChartData!B9-Models!$E$16+Models!$B$4*Models!$F$16+Models!$B$4*Models!$G$16*Models!$I$16+Models!$B$5*Models!$H$16)))</f>
        <v>98.580533741637609</v>
      </c>
      <c r="Q9" s="172">
        <f>Models!$B$53*EXP(-EXP(Models!$D$53*(ChartData!B9+Models!$C$53+Models!$B$5*Models!$E$53+Models!$B$4*Models!$F$53)))</f>
        <v>45.13385302353565</v>
      </c>
      <c r="R9" s="136">
        <f>Models!$B$17*Models!$I$17+(100-Models!$B$17*Models!$I$17)/(1+EXP(Models!$C$17*(ChartData!B9-Models!$E$17+Models!$B$4*Models!$F$17+Models!$B$4*Models!$G$17*Models!$I$17+Models!$B$5*Models!$H$17)))</f>
        <v>98.815299461393906</v>
      </c>
      <c r="S9" s="136">
        <f>Models!$B$54*EXP(-EXP(Models!$D$54*(ChartData!B9+Models!$C$54+Models!$B$5*Models!$E$54+Models!$B$4*Models!$F$54)))</f>
        <v>35.989462231515077</v>
      </c>
      <c r="T9" s="180">
        <f>Models!$B$18*Models!$I$18+(100-Models!$B$18*Models!$I$18)/(1+EXP(Models!$C$18*(ChartData!B9-Models!$E$18+Models!$B$4*Models!$F$18+Models!$B$4*Models!$G$18*Models!$I$18+Models!$B$5*Models!$H$18)))</f>
        <v>98.771468873882512</v>
      </c>
      <c r="U9" s="180">
        <f>Models!$B$55*EXP(-EXP(Models!$D$55*(ChartData!B9+Models!$C$55+Models!$B$5*Models!$E$55+Models!$B$4*Models!$F$55)))</f>
        <v>47.804580588111342</v>
      </c>
      <c r="V9" s="36">
        <f>Models!$B$19*Models!$I$19+(100-Models!$B$19*Models!$I$19)/(1+EXP(Models!$C$19*(ChartData!$B9-Models!$E$19+Models!$B$5*ChartData!$B9*Models!$F$19+Models!$B$4*Models!$G$19)))</f>
        <v>92.567339615268779</v>
      </c>
      <c r="W9" s="36">
        <f>Models!$B$56*EXP(-EXP(Models!$D$56*(ChartData!B9+Models!$C$56+Models!$B$5*Models!$E$56+Models!$B$4*Models!$F$56)))</f>
        <v>76.137671456265068</v>
      </c>
      <c r="X9" s="158">
        <f>Models!$B$20*Models!$I$20+(100-Models!$B$20*Models!$I$20)/(1+EXP(Models!$C$20*(ChartData!$B9-Models!$E$20+Models!$B$5*ChartData!$B9*Models!$F$20+Models!$B$4*Models!$G$20)))</f>
        <v>92.374716802016309</v>
      </c>
      <c r="Y9" s="158">
        <f>Models!$B$57*EXP(-EXP(Models!$D$57*(ChartData!B9+Models!$C$57+Models!$B$5*Models!$E$57+Models!$B$4*Models!$F$57)))</f>
        <v>78.310504304664207</v>
      </c>
      <c r="Z9" s="165">
        <f>Models!$B$21*Models!$I$21+(100-Models!$B$21*Models!$I$21)/(1+EXP(Models!$C$21*(ChartData!$B9-Models!$E$21+Models!$B$5*ChartData!$B9*Models!$F$21+Models!$B$4*Models!$G$21)))</f>
        <v>93.467940669968456</v>
      </c>
      <c r="AA9" s="165">
        <f>Models!$B$58*EXP(-EXP(Models!$D$58*(ChartData!B9+Models!$C$58+Models!$B$5*Models!$E$58+Models!$B$4*Models!$F$58)))</f>
        <v>78.587777265315978</v>
      </c>
      <c r="AB9" s="146">
        <f>200/(1+EXP(Models!$D$22*((Models!$E$22*Models!$B$4+Models!$B$5)*ChartData!B9)))</f>
        <v>99.581253542379201</v>
      </c>
      <c r="AC9" s="146">
        <f>100*EXP(-EXP(Models!$D$59*(ChartData!B9-Models!$C$59+Models!$E$59*Models!$B$4+Models!$F$59*Models!$B$5)))</f>
        <v>69.855377986767834</v>
      </c>
      <c r="AD9" s="149">
        <f>200/(1+EXP(Models!$D$23*((Models!$E$23*Models!$B$4+Models!$B$5)*ChartData!B9)))</f>
        <v>99.392078097036546</v>
      </c>
      <c r="AE9" s="149">
        <f>100*EXP(-EXP(Models!$D$60*(ChartData!B9-Models!$C$60+Models!$E$60*Models!$B$4+Models!$F$60*Models!$B$5)))</f>
        <v>71.504153341599633</v>
      </c>
      <c r="AF9" s="153">
        <f>200/(1+EXP(Models!$D$24*((Models!$E$24*Models!$B$4+Models!$B$5)*ChartData!B9)))</f>
        <v>99.331582338036668</v>
      </c>
      <c r="AG9" s="153">
        <f>100*EXP(-EXP(Models!$D$61*(ChartData!B9-Models!$C$61+Models!$E$61*Models!$B$4+Models!$F$61*Models!$B$5)))</f>
        <v>71.866021215522096</v>
      </c>
      <c r="AH9" s="266">
        <f>IF('Front Page'!$C$31&gt;0,1-'Front Page'!$C$31,"")</f>
        <v>0.995</v>
      </c>
      <c r="AI9" s="214">
        <f>Models!$B$25*Models!$I$25+(200-Models!$B$25*Models!$I$25)/(1+EXP(Models!$C$25*B9*(Models!$B$4*Models!$F$25+Models!$B$5+Models!$I$25*Models!$G$25)))</f>
        <v>99.429891131018366</v>
      </c>
      <c r="AJ9" s="214">
        <f>100*EXP(-EXP(Models!$D$62*(ChartData!B9-Models!$C$62+Models!$E$62*Models!$B$4+Models!$F$62*Models!$B$5)))</f>
        <v>76.137442659994207</v>
      </c>
      <c r="AK9" s="220">
        <f>Models!$B$26*Models!$I$26+(200-Models!$B$26*Models!$I$26)/(1+EXP(Models!$C$26*B9*(Models!$B$4*Models!$F$26+Models!$B$5+Models!$I$26*Models!$G$26)))</f>
        <v>99.192491622011758</v>
      </c>
      <c r="AL9" s="220">
        <f>100*EXP(-EXP(Models!$D$63*(ChartData!B9-Models!$C$63+Models!$E$63*Models!$B$4+Models!$F$63*Models!$B$5)))</f>
        <v>78.310265055654895</v>
      </c>
      <c r="AM9" s="226">
        <f>Models!$B$27*Models!$I$27+(200-Models!$B$27*Models!$I$27)/(1+EXP(Models!$C$27*B9*(Models!$B$4*Models!$F$27+Models!$B$5+Models!$I$27*Models!$G$27)))</f>
        <v>105.44472013034648</v>
      </c>
      <c r="AN9" s="226">
        <f>100*EXP(-EXP(Models!$D$64*(ChartData!B9-Models!$C$64+Models!$E$64*Models!$B$4+Models!$F$64*Models!$B$5)))</f>
        <v>78.587461203549324</v>
      </c>
      <c r="AO9" s="232">
        <f>Models!$B$28*Models!$I$28+(200-Models!$B$28*Models!$I$28)/(1+EXP(Models!$C$28*B9*(Models!$B$4*Models!$F$28+Models!$B$5+Models!$I$28*Models!$G$28)))</f>
        <v>99.342804328850931</v>
      </c>
      <c r="AP9" s="232">
        <f>100*EXP(-EXP(Models!$D$65*(ChartData!B9-Models!$C$65+Models!$E$65*Models!$B$4+Models!$F$65*Models!$B$5)))</f>
        <v>35.996373833027967</v>
      </c>
      <c r="AQ9" s="238">
        <f>Models!$B$29*Models!$I$29+(200-Models!$B$29*Models!$I$29)/(1+EXP(Models!$C$29*B9*(Models!$B$4*Models!$F$29+Models!$B$5+Models!$I$29*Models!$G$29)))</f>
        <v>99.035293106844833</v>
      </c>
      <c r="AR9" s="238">
        <f>100*EXP(-EXP(Models!$D$66*(ChartData!B9-Models!$C$66+Models!$E$66*Models!$B$4+Models!$F$66*Models!$B$5)))</f>
        <v>47.804012204213272</v>
      </c>
      <c r="AS9" s="244">
        <f>Models!$B$30*Models!$I$30+(200-Models!$B$30*Models!$I$30)/(1+EXP(Models!$C$30*B9*(Models!$B$4*Models!$F$30+Models!$B$5+Models!$I$30*Models!$G$30)))</f>
        <v>103.61228124285202</v>
      </c>
      <c r="AT9" s="244">
        <f>100*EXP(-EXP(Models!$D$67*(ChartData!B9-Models!$C$67+Models!$E$67*Models!$B$4+Models!$F$67*Models!$B$5)))</f>
        <v>41.483686136114869</v>
      </c>
    </row>
    <row r="10" spans="1:46" x14ac:dyDescent="0.2">
      <c r="A10" s="65" t="s">
        <v>226</v>
      </c>
      <c r="B10">
        <v>70</v>
      </c>
      <c r="C10">
        <f>1-'Front Page'!$C$30</f>
        <v>0.99630303030303036</v>
      </c>
      <c r="D10" s="45">
        <f t="shared" si="0"/>
        <v>98.874521232901316</v>
      </c>
      <c r="E10" s="45">
        <f t="shared" si="1"/>
        <v>49.936365270391931</v>
      </c>
      <c r="F10" s="36">
        <f>Equations!$E$4/(1+EXP(Equations!$F$4*ChartData!B10*(Equations!$G$4*Equations!$C$4+Equations!$D$4)))</f>
        <v>99.331450667920876</v>
      </c>
      <c r="G10" s="36">
        <f>Equations!$E$7*EXP(-EXP(-Equations!$F$7*(ChartData!B10-Equations!$G$7+Equations!$H$7*Equations!$C$7+Equations!$I$7*Equations!$D$7)))</f>
        <v>77.277325730148974</v>
      </c>
      <c r="H10" s="55">
        <f>Models!$B$13+Models!$C$13*EXP(Models!$D$13*ChartData!B10+(Models!$E$13*ChartData!B10*Models!$E$3))</f>
        <v>97.904353703655573</v>
      </c>
      <c r="I10" s="55">
        <f>Models!$B$50*EXP(-EXP(Models!$D$50*(ChartData!B10+Models!$C$50-(Models!$E$50*Models!$B$5))))</f>
        <v>65.935344644324417</v>
      </c>
      <c r="J10" s="57">
        <f>Models!$B$12/(1+EXP(Models!$D$12*(ChartData!B10-Models!$C$12+Models!$E$12*ChartData!B10*Models!$B$5)))</f>
        <v>120.99900441263904</v>
      </c>
      <c r="K10" s="61">
        <f>Models!$B$49*EXP(-EXP(Models!$D$49*(ChartData!B10-Models!$C$49+(Models!$E$49*ChartData!B10*Models!$B$5))))</f>
        <v>5.3282973759200871</v>
      </c>
      <c r="L10" s="62">
        <f>Models!$B$15/(1+EXP(Models!$D$15*(ChartData!B10*(1+Models!$D$15*Models!$B$5)-Models!$C$15)))</f>
        <v>93.524977497917277</v>
      </c>
      <c r="M10" s="63">
        <f>Models!$B$52*EXP(-EXP(Models!$D$52*(ChartData!B10*(1+Models!$D$52*Models!$B$5)-Models!$C$52)))</f>
        <v>6.351383721381854</v>
      </c>
      <c r="N10" s="53">
        <f>Models!$B$15/(1+EXP(Models!$D$15*(ChartData!B10-Models!$D$15+Models!$E$15*ChartData!B10*Models!$B$5)))</f>
        <v>91.012903862180551</v>
      </c>
      <c r="O10" s="53">
        <f>Models!$B$52*EXP(-EXP(Models!$D$52*(ChartData!B10-Models!$C$52+Models!$E$52*ChartData!B10*Models!$B$5)))</f>
        <v>7.3782147387991008</v>
      </c>
      <c r="P10" s="172">
        <f>Models!$B$16*Models!$I$16+(100-Models!$B$16*Models!$I$16)/(1+EXP(Models!$C$16*(ChartData!B10-Models!$E$16+Models!$B$4*Models!$F$16+Models!$B$4*Models!$G$16*Models!$I$16+Models!$B$5*Models!$H$16)))</f>
        <v>98.548115994545014</v>
      </c>
      <c r="Q10" s="172">
        <f>Models!$B$53*EXP(-EXP(Models!$D$53*(ChartData!B10+Models!$C$53+Models!$B$5*Models!$E$53+Models!$B$4*Models!$F$53)))</f>
        <v>47.135193508907456</v>
      </c>
      <c r="R10" s="136">
        <f>Models!$B$17*Models!$I$17+(100-Models!$B$17*Models!$I$17)/(1+EXP(Models!$C$17*(ChartData!B10-Models!$E$17+Models!$B$4*Models!$F$17+Models!$B$4*Models!$G$17*Models!$I$17+Models!$B$5*Models!$H$17)))</f>
        <v>98.79384466855511</v>
      </c>
      <c r="S10" s="136">
        <f>Models!$B$54*EXP(-EXP(Models!$D$54*(ChartData!B10+Models!$C$54+Models!$B$5*Models!$E$54+Models!$B$4*Models!$F$54)))</f>
        <v>37.365465391309996</v>
      </c>
      <c r="T10" s="180">
        <f>Models!$B$18*Models!$I$18+(100-Models!$B$18*Models!$I$18)/(1+EXP(Models!$C$18*(ChartData!B10-Models!$E$18+Models!$B$4*Models!$F$18+Models!$B$4*Models!$G$18*Models!$I$18+Models!$B$5*Models!$H$18)))</f>
        <v>98.73820667247999</v>
      </c>
      <c r="U10" s="180">
        <f>Models!$B$55*EXP(-EXP(Models!$D$55*(ChartData!B10+Models!$C$55+Models!$B$5*Models!$E$55+Models!$B$4*Models!$F$55)))</f>
        <v>49.936958577778782</v>
      </c>
      <c r="V10" s="36">
        <f>Models!$B$19*Models!$I$19+(100-Models!$B$19*Models!$I$19)/(1+EXP(Models!$C$19*(ChartData!$B10-Models!$E$19+Models!$B$5*ChartData!$B10*Models!$F$19+Models!$B$4*Models!$G$19)))</f>
        <v>92.524355151167043</v>
      </c>
      <c r="W10" s="36">
        <f>Models!$B$56*EXP(-EXP(Models!$D$56*(ChartData!B10+Models!$C$56+Models!$B$5*Models!$E$56+Models!$B$4*Models!$F$56)))</f>
        <v>76.705590744465141</v>
      </c>
      <c r="X10" s="158">
        <f>Models!$B$20*Models!$I$20+(100-Models!$B$20*Models!$I$20)/(1+EXP(Models!$C$20*(ChartData!$B10-Models!$E$20+Models!$B$5*ChartData!$B10*Models!$F$20+Models!$B$4*Models!$G$20)))</f>
        <v>92.309749576484563</v>
      </c>
      <c r="Y10" s="158">
        <f>Models!$B$57*EXP(-EXP(Models!$D$57*(ChartData!B10+Models!$C$57+Models!$B$5*Models!$E$57+Models!$B$4*Models!$F$57)))</f>
        <v>79.098433082118135</v>
      </c>
      <c r="Z10" s="165">
        <f>Models!$B$21*Models!$I$21+(100-Models!$B$21*Models!$I$21)/(1+EXP(Models!$C$21*(ChartData!$B10-Models!$E$21+Models!$B$5*ChartData!$B10*Models!$F$21+Models!$B$4*Models!$G$21)))</f>
        <v>93.406708391497972</v>
      </c>
      <c r="AA10" s="165">
        <f>Models!$B$58*EXP(-EXP(Models!$D$58*(ChartData!B10+Models!$C$58+Models!$B$5*Models!$E$58+Models!$B$4*Models!$F$58)))</f>
        <v>79.409502606009397</v>
      </c>
      <c r="AB10" s="146">
        <f>200/(1+EXP(Models!$D$22*((Models!$E$22*Models!$B$4+Models!$B$5)*ChartData!B10)))</f>
        <v>99.511463497255264</v>
      </c>
      <c r="AC10" s="146">
        <f>100*EXP(-EXP(Models!$D$59*(ChartData!B10-Models!$C$59+Models!$E$59*Models!$B$4+Models!$F$59*Models!$B$5)))</f>
        <v>70.337260079837037</v>
      </c>
      <c r="AD10" s="149">
        <f>200/(1+EXP(Models!$D$23*((Models!$E$23*Models!$B$4+Models!$B$5)*ChartData!B10)))</f>
        <v>99.290760934957959</v>
      </c>
      <c r="AE10" s="149">
        <f>100*EXP(-EXP(Models!$D$60*(ChartData!B10-Models!$C$60+Models!$E$60*Models!$B$4+Models!$F$60*Models!$B$5)))</f>
        <v>72.185785864840852</v>
      </c>
      <c r="AF10" s="153">
        <f>200/(1+EXP(Models!$D$24*((Models!$E$24*Models!$B$4+Models!$B$5)*ChartData!B10)))</f>
        <v>99.220183588209906</v>
      </c>
      <c r="AG10" s="153">
        <f>100*EXP(-EXP(Models!$D$61*(ChartData!B10-Models!$C$61+Models!$E$61*Models!$B$4+Models!$F$61*Models!$B$5)))</f>
        <v>72.590845134224125</v>
      </c>
      <c r="AH10" s="266">
        <f>IF('Front Page'!$C$31&gt;0,1-'Front Page'!$C$31,"")</f>
        <v>0.995</v>
      </c>
      <c r="AI10" s="214">
        <f>Models!$B$25*Models!$I$25+(200-Models!$B$25*Models!$I$25)/(1+EXP(Models!$C$25*B10*(Models!$B$4*Models!$F$25+Models!$B$5+Models!$I$25*Models!$G$25)))</f>
        <v>99.334875588387447</v>
      </c>
      <c r="AJ10" s="214">
        <f>100*EXP(-EXP(Models!$D$62*(ChartData!B10-Models!$C$62+Models!$E$62*Models!$B$4+Models!$F$62*Models!$B$5)))</f>
        <v>76.705366524752677</v>
      </c>
      <c r="AK10" s="220">
        <f>Models!$B$26*Models!$I$26+(200-Models!$B$26*Models!$I$26)/(1+EXP(Models!$C$26*B10*(Models!$B$4*Models!$F$26+Models!$B$5+Models!$I$26*Models!$G$26)))</f>
        <v>99.057914286851428</v>
      </c>
      <c r="AL10" s="220">
        <f>100*EXP(-EXP(Models!$D$63*(ChartData!B10-Models!$C$63+Models!$E$63*Models!$B$4+Models!$F$63*Models!$B$5)))</f>
        <v>79.098182774253374</v>
      </c>
      <c r="AM10" s="226">
        <f>Models!$B$27*Models!$I$27+(200-Models!$B$27*Models!$I$27)/(1+EXP(Models!$C$27*B10*(Models!$B$4*Models!$F$27+Models!$B$5+Models!$I$27*Models!$G$27)))</f>
        <v>105.05452659512751</v>
      </c>
      <c r="AN10" s="226">
        <f>100*EXP(-EXP(Models!$D$64*(ChartData!B10-Models!$C$64+Models!$E$64*Models!$B$4+Models!$F$64*Models!$B$5)))</f>
        <v>79.40919702631659</v>
      </c>
      <c r="AO10" s="232">
        <f>Models!$B$28*Models!$I$28+(200-Models!$B$28*Models!$I$28)/(1+EXP(Models!$C$28*B10*(Models!$B$4*Models!$F$28+Models!$B$5+Models!$I$28*Models!$G$28)))</f>
        <v>99.233275703123255</v>
      </c>
      <c r="AP10" s="232">
        <f>100*EXP(-EXP(Models!$D$65*(ChartData!B10-Models!$C$65+Models!$E$65*Models!$B$4+Models!$F$65*Models!$B$5)))</f>
        <v>37.372377761349433</v>
      </c>
      <c r="AQ10" s="238">
        <f>Models!$B$29*Models!$I$29+(200-Models!$B$29*Models!$I$29)/(1+EXP(Models!$C$29*B10*(Models!$B$4*Models!$F$29+Models!$B$5+Models!$I$29*Models!$G$29)))</f>
        <v>98.874521232901316</v>
      </c>
      <c r="AR10" s="238">
        <f>100*EXP(-EXP(Models!$D$66*(ChartData!B10-Models!$C$66+Models!$E$66*Models!$B$4+Models!$F$66*Models!$B$5)))</f>
        <v>49.936365270391931</v>
      </c>
      <c r="AS10" s="244">
        <f>Models!$B$30*Models!$I$30+(200-Models!$B$30*Models!$I$30)/(1+EXP(Models!$C$30*B10*(Models!$B$4*Models!$F$30+Models!$B$5+Models!$I$30*Models!$G$30)))</f>
        <v>103.41196856203885</v>
      </c>
      <c r="AT10" s="244">
        <f>100*EXP(-EXP(Models!$D$67*(ChartData!B10-Models!$C$67+Models!$E$67*Models!$B$4+Models!$F$67*Models!$B$5)))</f>
        <v>43.282237996910027</v>
      </c>
    </row>
    <row r="11" spans="1:46" ht="13.5" thickBot="1" x14ac:dyDescent="0.25">
      <c r="A11" s="66" t="str">
        <f>IF(ISNUMBER(SEARCH("12", 'Front Page'!C7)), "12", IF(ISNUMBER(SEARCH("32", 'Front Page'!C7)), "15-32", "15.5"))</f>
        <v>15.5</v>
      </c>
      <c r="B11">
        <v>80</v>
      </c>
      <c r="C11">
        <f>1-'Front Page'!$C$30</f>
        <v>0.99630303030303036</v>
      </c>
      <c r="D11" s="45">
        <f t="shared" si="0"/>
        <v>98.713755177668261</v>
      </c>
      <c r="E11" s="45">
        <f t="shared" si="1"/>
        <v>52.029407771368042</v>
      </c>
      <c r="F11" s="36">
        <f>Equations!$E$4/(1+EXP(Equations!$F$4*ChartData!B11*(Equations!$G$4*Equations!$C$4+Equations!$D$4)))</f>
        <v>99.235947105199926</v>
      </c>
      <c r="G11" s="36">
        <f>Equations!$E$7*EXP(-EXP(-Equations!$F$7*(ChartData!B11-Equations!$G$7+Equations!$H$7*Equations!$C$7+Equations!$I$7*Equations!$D$7)))</f>
        <v>77.93744647325866</v>
      </c>
      <c r="H11" s="55">
        <f>Models!$B$13+Models!$C$13*EXP(Models!$D$13*ChartData!B11+(Models!$E$13*ChartData!B11*Models!$E$3))</f>
        <v>97.609429273262407</v>
      </c>
      <c r="I11" s="55">
        <f>Models!$B$50*EXP(-EXP(Models!$D$50*(ChartData!B11+Models!$C$50-(Models!$E$50*Models!$B$5))))</f>
        <v>66.554594691953355</v>
      </c>
      <c r="J11" s="57">
        <f>Models!$B$12/(1+EXP(Models!$D$12*(ChartData!B11-Models!$C$12+Models!$E$12*ChartData!B11*Models!$B$5)))</f>
        <v>120.99856481470908</v>
      </c>
      <c r="K11" s="61">
        <f>Models!$B$49*EXP(-EXP(Models!$D$49*(ChartData!B11-Models!$C$49+(Models!$E$49*ChartData!B11*Models!$B$5))))</f>
        <v>6.4986951363430645</v>
      </c>
      <c r="L11" s="62">
        <f>Models!$B$15/(1+EXP(Models!$D$15*(ChartData!B11*(1+Models!$D$15*Models!$B$5)-Models!$C$15)))</f>
        <v>92.381129250901395</v>
      </c>
      <c r="M11" s="63">
        <f>Models!$B$52*EXP(-EXP(Models!$D$52*(ChartData!B11*(1+Models!$D$52*Models!$B$5)-Models!$C$52)))</f>
        <v>7.7833819209300898</v>
      </c>
      <c r="N11" s="53">
        <f>Models!$B$15/(1+EXP(Models!$D$15*(ChartData!B11-Models!$D$15+Models!$E$15*ChartData!B11*Models!$B$5)))</f>
        <v>89.73746673087615</v>
      </c>
      <c r="O11" s="53">
        <f>Models!$B$52*EXP(-EXP(Models!$D$52*(ChartData!B11-Models!$C$52+Models!$E$52*ChartData!B11*Models!$B$5)))</f>
        <v>9.1157155827045884</v>
      </c>
      <c r="P11" s="172">
        <f>Models!$B$16*Models!$I$16+(100-Models!$B$16*Models!$I$16)/(1+EXP(Models!$C$16*(ChartData!B11-Models!$E$16+Models!$B$4*Models!$F$16+Models!$B$4*Models!$G$16*Models!$I$16+Models!$B$5*Models!$H$16)))</f>
        <v>98.514969044302859</v>
      </c>
      <c r="Q11" s="172">
        <f>Models!$B$53*EXP(-EXP(Models!$D$53*(ChartData!B11+Models!$C$53+Models!$B$5*Models!$E$53+Models!$B$4*Models!$F$53)))</f>
        <v>49.108935211409104</v>
      </c>
      <c r="R11" s="136">
        <f>Models!$B$17*Models!$I$17+(100-Models!$B$17*Models!$I$17)/(1+EXP(Models!$C$17*(ChartData!B11-Models!$E$17+Models!$B$4*Models!$F$17+Models!$B$4*Models!$G$17*Models!$I$17+Models!$B$5*Models!$H$17)))</f>
        <v>98.772006160341277</v>
      </c>
      <c r="S11" s="136">
        <f>Models!$B$54*EXP(-EXP(Models!$D$54*(ChartData!B11+Models!$C$54+Models!$B$5*Models!$E$54+Models!$B$4*Models!$F$54)))</f>
        <v>38.740673035001485</v>
      </c>
      <c r="T11" s="180">
        <f>Models!$B$18*Models!$I$18+(100-Models!$B$18*Models!$I$18)/(1+EXP(Models!$C$18*(ChartData!B11-Models!$E$18+Models!$B$4*Models!$F$18+Models!$B$4*Models!$G$18*Models!$I$18+Models!$B$5*Models!$H$18)))</f>
        <v>98.704056788501504</v>
      </c>
      <c r="U11" s="180">
        <f>Models!$B$55*EXP(-EXP(Models!$D$55*(ChartData!B11+Models!$C$55+Models!$B$5*Models!$E$55+Models!$B$4*Models!$F$55)))</f>
        <v>52.030023388961709</v>
      </c>
      <c r="V11" s="36">
        <f>Models!$B$19*Models!$I$19+(100-Models!$B$19*Models!$I$19)/(1+EXP(Models!$C$19*(ChartData!$B11-Models!$E$19+Models!$B$5*ChartData!$B11*Models!$F$19+Models!$B$4*Models!$G$19)))</f>
        <v>92.48114229157332</v>
      </c>
      <c r="W11" s="36">
        <f>Models!$B$56*EXP(-EXP(Models!$D$56*(ChartData!B11+Models!$C$56+Models!$B$5*Models!$E$56+Models!$B$4*Models!$F$56)))</f>
        <v>77.262093615722065</v>
      </c>
      <c r="X11" s="158">
        <f>Models!$B$20*Models!$I$20+(100-Models!$B$20*Models!$I$20)/(1+EXP(Models!$C$20*(ChartData!$B11-Models!$E$20+Models!$B$5*ChartData!$B11*Models!$F$20+Models!$B$4*Models!$G$20)))</f>
        <v>92.244275304917622</v>
      </c>
      <c r="Y11" s="158">
        <f>Models!$B$57*EXP(-EXP(Models!$D$57*(ChartData!B11+Models!$C$57+Models!$B$5*Models!$E$57+Models!$B$4*Models!$F$57)))</f>
        <v>79.861544244374301</v>
      </c>
      <c r="Z11" s="165">
        <f>Models!$B$21*Models!$I$21+(100-Models!$B$21*Models!$I$21)/(1+EXP(Models!$C$21*(ChartData!$B11-Models!$E$21+Models!$B$5*ChartData!$B11*Models!$F$21+Models!$B$4*Models!$G$21)))</f>
        <v>93.344949576142085</v>
      </c>
      <c r="AA11" s="165">
        <f>Models!$B$58*EXP(-EXP(Models!$D$58*(ChartData!B11+Models!$C$58+Models!$B$5*Models!$E$58+Models!$B$4*Models!$F$58)))</f>
        <v>80.203796996166062</v>
      </c>
      <c r="AB11" s="146">
        <f>200/(1+EXP(Models!$D$22*((Models!$E$22*Models!$B$4+Models!$B$5)*ChartData!B11)))</f>
        <v>99.441673928037545</v>
      </c>
      <c r="AC11" s="146">
        <f>100*EXP(-EXP(Models!$D$59*(ChartData!B11-Models!$C$59+Models!$E$59*Models!$B$4+Models!$F$59*Models!$B$5)))</f>
        <v>70.813136937256246</v>
      </c>
      <c r="AD11" s="149">
        <f>200/(1+EXP(Models!$D$23*((Models!$E$23*Models!$B$4+Models!$B$5)*ChartData!B11)))</f>
        <v>99.189445229023249</v>
      </c>
      <c r="AE11" s="149">
        <f>100*EXP(-EXP(Models!$D$60*(ChartData!B11-Models!$C$60+Models!$E$60*Models!$B$4+Models!$F$60*Models!$B$5)))</f>
        <v>72.854361756134267</v>
      </c>
      <c r="AF11" s="153">
        <f>200/(1+EXP(Models!$D$24*((Models!$E$24*Models!$B$4+Models!$B$5)*ChartData!B11)))</f>
        <v>99.108786773921864</v>
      </c>
      <c r="AG11" s="153">
        <f>100*EXP(-EXP(Models!$D$61*(ChartData!B11-Models!$C$61+Models!$E$61*Models!$B$4+Models!$F$61*Models!$B$5)))</f>
        <v>73.300631713677404</v>
      </c>
      <c r="AH11" s="266">
        <f>IF('Front Page'!$C$31&gt;0,1-'Front Page'!$C$31,"")</f>
        <v>0.995</v>
      </c>
      <c r="AI11" s="214">
        <f>Models!$B$25*Models!$I$25+(200-Models!$B$25*Models!$I$25)/(1+EXP(Models!$C$25*B11*(Models!$B$4*Models!$F$25+Models!$B$5+Models!$I$25*Models!$G$25)))</f>
        <v>99.239861246736908</v>
      </c>
      <c r="AJ11" s="214">
        <f>100*EXP(-EXP(Models!$D$62*(ChartData!B11-Models!$C$62+Models!$E$62*Models!$B$4+Models!$F$62*Models!$B$5)))</f>
        <v>77.261873925531646</v>
      </c>
      <c r="AK11" s="220">
        <f>Models!$B$26*Models!$I$26+(200-Models!$B$26*Models!$I$26)/(1+EXP(Models!$C$26*B11*(Models!$B$4*Models!$F$26+Models!$B$5+Models!$I$26*Models!$G$26)))</f>
        <v>98.92334036434147</v>
      </c>
      <c r="AL11" s="220">
        <f>100*EXP(-EXP(Models!$D$63*(ChartData!B11-Models!$C$63+Models!$E$63*Models!$B$4+Models!$F$63*Models!$B$5)))</f>
        <v>79.861283910995766</v>
      </c>
      <c r="AM11" s="226">
        <f>Models!$B$27*Models!$I$27+(200-Models!$B$27*Models!$I$27)/(1+EXP(Models!$C$27*B11*(Models!$B$4*Models!$F$27+Models!$B$5+Models!$I$27*Models!$G$27)))</f>
        <v>104.66443097743281</v>
      </c>
      <c r="AN11" s="226">
        <f>100*EXP(-EXP(Models!$D$64*(ChartData!B11-Models!$C$64+Models!$E$64*Models!$B$4+Models!$F$64*Models!$B$5)))</f>
        <v>80.203501683551849</v>
      </c>
      <c r="AO11" s="232">
        <f>Models!$B$28*Models!$I$28+(200-Models!$B$28*Models!$I$28)/(1+EXP(Models!$C$28*B11*(Models!$B$4*Models!$F$28+Models!$B$5+Models!$I$28*Models!$G$28)))</f>
        <v>99.12374891707745</v>
      </c>
      <c r="AP11" s="232">
        <f>100*EXP(-EXP(Models!$D$65*(ChartData!B11-Models!$C$65+Models!$E$65*Models!$B$4+Models!$F$65*Models!$B$5)))</f>
        <v>38.747576657740311</v>
      </c>
      <c r="AQ11" s="238">
        <f>Models!$B$29*Models!$I$29+(200-Models!$B$29*Models!$I$29)/(1+EXP(Models!$C$29*B11*(Models!$B$4*Models!$F$29+Models!$B$5+Models!$I$29*Models!$G$29)))</f>
        <v>98.713755177668261</v>
      </c>
      <c r="AR11" s="238">
        <f>100*EXP(-EXP(Models!$D$66*(ChartData!B11-Models!$C$66+Models!$E$66*Models!$B$4+Models!$F$66*Models!$B$5)))</f>
        <v>52.029407771368042</v>
      </c>
      <c r="AS11" s="244">
        <f>Models!$B$30*Models!$I$30+(200-Models!$B$30*Models!$I$30)/(1+EXP(Models!$C$30*B11*(Models!$B$4*Models!$F$30+Models!$B$5+Models!$I$30*Models!$G$30)))</f>
        <v>103.21166830425433</v>
      </c>
      <c r="AT11" s="244">
        <f>100*EXP(-EXP(Models!$D$67*(ChartData!B11-Models!$C$67+Models!$E$67*Models!$B$4+Models!$F$67*Models!$B$5)))</f>
        <v>45.066409593953033</v>
      </c>
    </row>
    <row r="12" spans="1:46" x14ac:dyDescent="0.2">
      <c r="A12" t="s">
        <v>230</v>
      </c>
      <c r="B12">
        <v>90</v>
      </c>
      <c r="C12">
        <f>1-'Front Page'!$C$30</f>
        <v>0.99630303030303036</v>
      </c>
      <c r="D12" s="45">
        <f t="shared" si="0"/>
        <v>98.552995772046174</v>
      </c>
      <c r="E12" s="45">
        <f t="shared" si="1"/>
        <v>54.078728524838247</v>
      </c>
      <c r="F12" s="36">
        <f>Equations!$E$4/(1+EXP(Equations!$F$4*ChartData!B12*(Equations!$G$4*Equations!$C$4+Equations!$D$4)))</f>
        <v>99.140444936314665</v>
      </c>
      <c r="G12" s="36">
        <f>Equations!$E$7*EXP(-EXP(-Equations!$F$7*(ChartData!B12-Equations!$G$7+Equations!$H$7*Equations!$C$7+Equations!$I$7*Equations!$D$7)))</f>
        <v>78.581146730140034</v>
      </c>
      <c r="H12" s="55">
        <f>Models!$B$13+Models!$C$13*EXP(Models!$D$13*ChartData!B12+(Models!$E$13*ChartData!B12*Models!$E$3))</f>
        <v>97.315605800165457</v>
      </c>
      <c r="I12" s="55">
        <f>Models!$B$50*EXP(-EXP(Models!$D$50*(ChartData!B12+Models!$C$50-(Models!$E$50*Models!$B$5))))</f>
        <v>67.165567239631187</v>
      </c>
      <c r="J12" s="57">
        <f>Models!$B$12/(1+EXP(Models!$D$12*(ChartData!B12-Models!$C$12+Models!$E$12*ChartData!B12*Models!$B$5)))</f>
        <v>120.99793111725215</v>
      </c>
      <c r="K12" s="61">
        <f>Models!$B$49*EXP(-EXP(Models!$D$49*(ChartData!B12-Models!$C$49+(Models!$E$49*ChartData!B12*Models!$B$5))))</f>
        <v>7.8203051734793609</v>
      </c>
      <c r="L12" s="62">
        <f>Models!$B$15/(1+EXP(Models!$D$15*(ChartData!B12*(1+Models!$D$15*Models!$B$5)-Models!$C$15)))</f>
        <v>91.239282823833136</v>
      </c>
      <c r="M12" s="63">
        <f>Models!$B$52*EXP(-EXP(Models!$D$52*(ChartData!B12*(1+Models!$D$52*Models!$B$5)-Models!$C$52)))</f>
        <v>9.3962671558084949</v>
      </c>
      <c r="N12" s="53">
        <f>Models!$B$15/(1+EXP(Models!$D$15*(ChartData!B12-Models!$D$15+Models!$E$15*ChartData!B12*Models!$B$5)))</f>
        <v>88.465395129181871</v>
      </c>
      <c r="O12" s="53">
        <f>Models!$B$52*EXP(-EXP(Models!$D$52*(ChartData!B12-Models!$C$52+Models!$E$52*ChartData!B12*Models!$B$5)))</f>
        <v>11.07081517042263</v>
      </c>
      <c r="P12" s="172">
        <f>Models!$B$16*Models!$I$16+(100-Models!$B$16*Models!$I$16)/(1+EXP(Models!$C$16*(ChartData!B12-Models!$E$16+Models!$B$4*Models!$F$16+Models!$B$4*Models!$G$16*Models!$I$16+Models!$B$5*Models!$H$16)))</f>
        <v>98.481077003047716</v>
      </c>
      <c r="Q12" s="172">
        <f>Models!$B$53*EXP(-EXP(Models!$D$53*(ChartData!B12+Models!$C$53+Models!$B$5*Models!$E$53+Models!$B$4*Models!$F$53)))</f>
        <v>51.050985179720357</v>
      </c>
      <c r="R12" s="136">
        <f>Models!$B$17*Models!$I$17+(100-Models!$B$17*Models!$I$17)/(1+EXP(Models!$C$17*(ChartData!B12-Models!$E$17+Models!$B$4*Models!$F$17+Models!$B$4*Models!$G$17*Models!$I$17+Models!$B$5*Models!$H$17)))</f>
        <v>98.749777250439507</v>
      </c>
      <c r="S12" s="136">
        <f>Models!$B$54*EXP(-EXP(Models!$D$54*(ChartData!B12+Models!$C$54+Models!$B$5*Models!$E$54+Models!$B$4*Models!$F$54)))</f>
        <v>40.113228698660514</v>
      </c>
      <c r="T12" s="180">
        <f>Models!$B$18*Models!$I$18+(100-Models!$B$18*Models!$I$18)/(1+EXP(Models!$C$18*(ChartData!B12-Models!$E$18+Models!$B$4*Models!$F$18+Models!$B$4*Models!$G$18*Models!$I$18+Models!$B$5*Models!$H$18)))</f>
        <v>98.668996238413598</v>
      </c>
      <c r="U12" s="180">
        <f>Models!$B$55*EXP(-EXP(Models!$D$55*(ChartData!B12+Models!$C$55+Models!$B$5*Models!$E$55+Models!$B$4*Models!$F$55)))</f>
        <v>54.079363799690086</v>
      </c>
      <c r="V12" s="36">
        <f>Models!$B$19*Models!$I$19+(100-Models!$B$19*Models!$I$19)/(1+EXP(Models!$C$19*(ChartData!$B12-Models!$E$19+Models!$B$5*ChartData!$B12*Models!$F$19+Models!$B$4*Models!$G$19)))</f>
        <v>92.437700056867101</v>
      </c>
      <c r="W12" s="36">
        <f>Models!$B$56*EXP(-EXP(Models!$D$56*(ChartData!B12+Models!$C$56+Models!$B$5*Models!$E$56+Models!$B$4*Models!$F$56)))</f>
        <v>77.807300620191683</v>
      </c>
      <c r="X12" s="158">
        <f>Models!$B$20*Models!$I$20+(100-Models!$B$20*Models!$I$20)/(1+EXP(Models!$C$20*(ChartData!$B12-Models!$E$20+Models!$B$5*ChartData!$B12*Models!$F$20+Models!$B$4*Models!$G$20)))</f>
        <v>92.178290823859925</v>
      </c>
      <c r="Y12" s="158">
        <f>Models!$B$57*EXP(-EXP(Models!$D$57*(ChartData!B12+Models!$C$57+Models!$B$5*Models!$E$57+Models!$B$4*Models!$F$57)))</f>
        <v>80.600322782359726</v>
      </c>
      <c r="Z12" s="165">
        <f>Models!$B$21*Models!$I$21+(100-Models!$B$21*Models!$I$21)/(1+EXP(Models!$C$21*(ChartData!$B12-Models!$E$21+Models!$B$5*ChartData!$B12*Models!$F$21+Models!$B$4*Models!$G$21)))</f>
        <v>93.282660588473433</v>
      </c>
      <c r="AA12" s="165">
        <f>Models!$B$58*EXP(-EXP(Models!$D$58*(ChartData!B12+Models!$C$58+Models!$B$5*Models!$E$58+Models!$B$4*Models!$F$58)))</f>
        <v>80.971238914324687</v>
      </c>
      <c r="AB12" s="146">
        <f>200/(1+EXP(Models!$D$22*((Models!$E$22*Models!$B$4+Models!$B$5)*ChartData!B12)))</f>
        <v>99.37188490270735</v>
      </c>
      <c r="AC12" s="146">
        <f>100*EXP(-EXP(Models!$D$59*(ChartData!B12-Models!$C$59+Models!$E$59*Models!$B$4+Models!$F$59*Models!$B$5)))</f>
        <v>71.283022085258381</v>
      </c>
      <c r="AD12" s="149">
        <f>200/(1+EXP(Models!$D$23*((Models!$E$23*Models!$B$4+Models!$B$5)*ChartData!B12)))</f>
        <v>99.088131187218778</v>
      </c>
      <c r="AE12" s="149">
        <f>100*EXP(-EXP(Models!$D$60*(ChartData!B12-Models!$C$60+Models!$E$60*Models!$B$4+Models!$F$60*Models!$B$5)))</f>
        <v>73.509957645962416</v>
      </c>
      <c r="AF12" s="153">
        <f>200/(1+EXP(Models!$D$24*((Models!$E$24*Models!$B$4+Models!$B$5)*ChartData!B12)))</f>
        <v>98.997392171623218</v>
      </c>
      <c r="AG12" s="153">
        <f>100*EXP(-EXP(Models!$D$61*(ChartData!B12-Models!$C$61+Models!$E$61*Models!$B$4+Models!$F$61*Models!$B$5)))</f>
        <v>73.995484304697072</v>
      </c>
      <c r="AH12" s="266">
        <f>IF('Front Page'!$C$31&gt;0,1-'Front Page'!$C$31,"")</f>
        <v>0.995</v>
      </c>
      <c r="AI12" s="214">
        <f>Models!$B$25*Models!$I$25+(200-Models!$B$25*Models!$I$25)/(1+EXP(Models!$C$25*B12*(Models!$B$4*Models!$F$25+Models!$B$5+Models!$I$25*Models!$G$25)))</f>
        <v>99.144848277610578</v>
      </c>
      <c r="AJ12" s="214">
        <f>100*EXP(-EXP(Models!$D$62*(ChartData!B12-Models!$C$62+Models!$E$62*Models!$B$4+Models!$F$62*Models!$B$5)))</f>
        <v>77.80708541043235</v>
      </c>
      <c r="AK12" s="220">
        <f>Models!$B$26*Models!$I$26+(200-Models!$B$26*Models!$I$26)/(1+EXP(Models!$C$26*B12*(Models!$B$4*Models!$F$26+Models!$B$5+Models!$I$26*Models!$G$26)))</f>
        <v>98.788770341862062</v>
      </c>
      <c r="AL12" s="220">
        <f>100*EXP(-EXP(Models!$D$63*(ChartData!B12-Models!$C$63+Models!$E$63*Models!$B$4+Models!$F$63*Models!$B$5)))</f>
        <v>80.600053416360083</v>
      </c>
      <c r="AM12" s="226">
        <f>Models!$B$27*Models!$I$27+(200-Models!$B$27*Models!$I$27)/(1+EXP(Models!$C$27*B12*(Models!$B$4*Models!$F$27+Models!$B$5+Models!$I$27*Models!$G$27)))</f>
        <v>104.27444722536815</v>
      </c>
      <c r="AN12" s="226">
        <f>100*EXP(-EXP(Models!$D$64*(ChartData!B12-Models!$C$64+Models!$E$64*Models!$B$4+Models!$F$64*Models!$B$5)))</f>
        <v>80.970953646423595</v>
      </c>
      <c r="AO12" s="232">
        <f>Models!$B$28*Models!$I$28+(200-Models!$B$28*Models!$I$28)/(1+EXP(Models!$C$28*B12*(Models!$B$4*Models!$F$28+Models!$B$5+Models!$I$28*Models!$G$28)))</f>
        <v>99.014224233474806</v>
      </c>
      <c r="AP12" s="232">
        <f>100*EXP(-EXP(Models!$D$65*(ChartData!B12-Models!$C$65+Models!$E$65*Models!$B$4+Models!$F$65*Models!$B$5)))</f>
        <v>40.120114442602997</v>
      </c>
      <c r="AQ12" s="238">
        <f>Models!$B$29*Models!$I$29+(200-Models!$B$29*Models!$I$29)/(1+EXP(Models!$C$29*B12*(Models!$B$4*Models!$F$29+Models!$B$5+Models!$I$29*Models!$G$29)))</f>
        <v>98.552995772046174</v>
      </c>
      <c r="AR12" s="238">
        <f>100*EXP(-EXP(Models!$D$66*(ChartData!B12-Models!$C$66+Models!$E$66*Models!$B$4+Models!$F$66*Models!$B$5)))</f>
        <v>54.078728524838247</v>
      </c>
      <c r="AS12" s="244">
        <f>Models!$B$30*Models!$I$30+(200-Models!$B$30*Models!$I$30)/(1+EXP(Models!$C$30*B12*(Models!$B$4*Models!$F$30+Models!$B$5+Models!$I$30*Models!$G$30)))</f>
        <v>103.01138224295903</v>
      </c>
      <c r="AT12" s="244">
        <f>100*EXP(-EXP(Models!$D$67*(ChartData!B12-Models!$C$67+Models!$E$67*Models!$B$4+Models!$F$67*Models!$B$5)))</f>
        <v>46.832784524853928</v>
      </c>
    </row>
    <row r="13" spans="1:46" ht="13.5" thickBot="1" x14ac:dyDescent="0.25">
      <c r="A13" s="81" t="str">
        <f>_xlfn.CONCAT("Use base temp ",A11," for degree days calculations")</f>
        <v>Use base temp 15.5 for degree days calculations</v>
      </c>
      <c r="B13">
        <v>100</v>
      </c>
      <c r="C13">
        <f>1-'Front Page'!$C$30</f>
        <v>0.99630303030303036</v>
      </c>
      <c r="D13" s="45">
        <f t="shared" si="0"/>
        <v>98.392243846798124</v>
      </c>
      <c r="E13" s="45">
        <f t="shared" si="1"/>
        <v>56.080520930209431</v>
      </c>
      <c r="F13" s="36">
        <f>Equations!$E$4/(1+EXP(Equations!$F$4*ChartData!B13*(Equations!$G$4*Equations!$C$4+Equations!$D$4)))</f>
        <v>99.044944335462162</v>
      </c>
      <c r="G13" s="36">
        <f>Equations!$E$7*EXP(-EXP(-Equations!$F$7*(ChartData!B13-Equations!$G$7+Equations!$H$7*Equations!$C$7+Equations!$I$7*Equations!$D$7)))</f>
        <v>79.208661718036979</v>
      </c>
      <c r="H13" s="55">
        <f>Models!$B$13+Models!$C$13*EXP(Models!$D$13*ChartData!B13+(Models!$E$13*ChartData!B13*Models!$E$3))</f>
        <v>97.022879174474696</v>
      </c>
      <c r="I13" s="55">
        <f>Models!$B$50*EXP(-EXP(Models!$D$50*(ChartData!B13+Models!$C$50-(Models!$E$50*Models!$B$5))))</f>
        <v>67.768247895575911</v>
      </c>
      <c r="J13" s="57">
        <f>Models!$B$12/(1+EXP(Models!$D$12*(ChartData!B13-Models!$C$12+Models!$E$12*ChartData!B13*Models!$B$5)))</f>
        <v>120.99701762138072</v>
      </c>
      <c r="K13" s="61">
        <f>Models!$B$49*EXP(-EXP(Models!$D$49*(ChartData!B13-Models!$C$49+(Models!$E$49*ChartData!B13*Models!$B$5))))</f>
        <v>9.2934415704147604</v>
      </c>
      <c r="L13" s="62">
        <f>Models!$B$15/(1+EXP(Models!$D$15*(ChartData!B13*(1+Models!$D$15*Models!$B$5)-Models!$C$15)))</f>
        <v>90.09973390143206</v>
      </c>
      <c r="M13" s="63">
        <f>Models!$B$52*EXP(-EXP(Models!$D$52*(ChartData!B13*(1+Models!$D$52*Models!$B$5)-Models!$C$52)))</f>
        <v>11.186900903738255</v>
      </c>
      <c r="N13" s="53">
        <f>Models!$B$15/(1+EXP(Models!$D$15*(ChartData!B13-Models!$D$15+Models!$E$15*ChartData!B13*Models!$B$5)))</f>
        <v>87.197095626141191</v>
      </c>
      <c r="O13" s="53">
        <f>Models!$B$52*EXP(-EXP(Models!$D$52*(ChartData!B13-Models!$C$52+Models!$E$52*ChartData!B13*Models!$B$5)))</f>
        <v>13.234947989821343</v>
      </c>
      <c r="P13" s="172">
        <f>Models!$B$16*Models!$I$16+(100-Models!$B$16*Models!$I$16)/(1+EXP(Models!$C$16*(ChartData!B13-Models!$E$16+Models!$B$4*Models!$F$16+Models!$B$4*Models!$G$16*Models!$I$16+Models!$B$5*Models!$H$16)))</f>
        <v>98.446423660502518</v>
      </c>
      <c r="Q13" s="172">
        <f>Models!$B$53*EXP(-EXP(Models!$D$53*(ChartData!B13+Models!$C$53+Models!$B$5*Models!$E$53+Models!$B$4*Models!$F$53)))</f>
        <v>52.95769984489128</v>
      </c>
      <c r="R13" s="136">
        <f>Models!$B$17*Models!$I$17+(100-Models!$B$17*Models!$I$17)/(1+EXP(Models!$C$17*(ChartData!B13-Models!$E$17+Models!$B$4*Models!$F$17+Models!$B$4*Models!$G$17*Models!$I$17+Models!$B$5*Models!$H$17)))</f>
        <v>98.727151142467136</v>
      </c>
      <c r="S13" s="136">
        <f>Models!$B$54*EXP(-EXP(Models!$D$54*(ChartData!B13+Models!$C$54+Models!$B$5*Models!$E$54+Models!$B$4*Models!$F$54)))</f>
        <v>41.481354552135613</v>
      </c>
      <c r="T13" s="180">
        <f>Models!$B$18*Models!$I$18+(100-Models!$B$18*Models!$I$18)/(1+EXP(Models!$C$18*(ChartData!B13-Models!$E$18+Models!$B$4*Models!$F$18+Models!$B$4*Models!$G$18*Models!$I$18+Models!$B$5*Models!$H$18)))</f>
        <v>98.633001482312949</v>
      </c>
      <c r="U13" s="180">
        <f>Models!$B$55*EXP(-EXP(Models!$D$55*(ChartData!B13+Models!$C$55+Models!$B$5*Models!$E$55+Models!$B$4*Models!$F$55)))</f>
        <v>56.081173203174892</v>
      </c>
      <c r="V13" s="36">
        <f>Models!$B$19*Models!$I$19+(100-Models!$B$19*Models!$I$19)/(1+EXP(Models!$C$19*(ChartData!$B13-Models!$E$19+Models!$B$5*ChartData!$B13*Models!$F$19+Models!$B$4*Models!$G$19)))</f>
        <v>92.394027465953428</v>
      </c>
      <c r="W13" s="36">
        <f>Models!$B$56*EXP(-EXP(Models!$D$56*(ChartData!B13+Models!$C$56+Models!$B$5*Models!$E$56+Models!$B$4*Models!$F$56)))</f>
        <v>78.341337237184987</v>
      </c>
      <c r="X13" s="158">
        <f>Models!$B$20*Models!$I$20+(100-Models!$B$20*Models!$I$20)/(1+EXP(Models!$C$20*(ChartData!$B13-Models!$E$20+Models!$B$5*ChartData!$B13*Models!$F$20+Models!$B$4*Models!$G$20)))</f>
        <v>92.111792963763079</v>
      </c>
      <c r="Y13" s="158">
        <f>Models!$B$57*EXP(-EXP(Models!$D$57*(ChartData!B13+Models!$C$57+Models!$B$5*Models!$E$57+Models!$B$4*Models!$F$57)))</f>
        <v>81.315269201397356</v>
      </c>
      <c r="Z13" s="165">
        <f>Models!$B$21*Models!$I$21+(100-Models!$B$21*Models!$I$21)/(1+EXP(Models!$C$21*(ChartData!$B13-Models!$E$21+Models!$B$5*ChartData!$B13*Models!$F$21+Models!$B$4*Models!$G$21)))</f>
        <v>93.219837784835377</v>
      </c>
      <c r="AA13" s="165">
        <f>Models!$B$58*EXP(-EXP(Models!$D$58*(ChartData!B13+Models!$C$58+Models!$B$5*Models!$E$58+Models!$B$4*Models!$F$58)))</f>
        <v>81.712424527801502</v>
      </c>
      <c r="AB13" s="146">
        <f>200/(1+EXP(Models!$D$22*((Models!$E$22*Models!$B$4+Models!$B$5)*ChartData!B13)))</f>
        <v>99.302096489243866</v>
      </c>
      <c r="AC13" s="146">
        <f>100*EXP(-EXP(Models!$D$59*(ChartData!B13-Models!$C$59+Models!$E$59*Models!$B$4+Models!$F$59*Models!$B$5)))</f>
        <v>71.746931593201325</v>
      </c>
      <c r="AD13" s="149">
        <f>200/(1+EXP(Models!$D$23*((Models!$E$23*Models!$B$4+Models!$B$5)*ChartData!B13)))</f>
        <v>98.98681901751722</v>
      </c>
      <c r="AE13" s="149">
        <f>100*EXP(-EXP(Models!$D$60*(ChartData!B13-Models!$C$60+Models!$E$60*Models!$B$4+Models!$F$60*Models!$B$5)))</f>
        <v>74.152660286941611</v>
      </c>
      <c r="AF13" s="153">
        <f>200/(1+EXP(Models!$D$24*((Models!$E$24*Models!$B$4+Models!$B$5)*ChartData!B13)))</f>
        <v>98.88600005774255</v>
      </c>
      <c r="AG13" s="153">
        <f>100*EXP(-EXP(Models!$D$61*(ChartData!B13-Models!$C$61+Models!$E$61*Models!$B$4+Models!$F$61*Models!$B$5)))</f>
        <v>74.675519154464737</v>
      </c>
      <c r="AH13" s="266">
        <f>IF('Front Page'!$C$31&gt;0,1-'Front Page'!$C$31,"")</f>
        <v>0.995</v>
      </c>
      <c r="AI13" s="214">
        <f>Models!$B$25*Models!$I$25+(200-Models!$B$25*Models!$I$25)/(1+EXP(Models!$C$25*B13*(Models!$B$4*Models!$F$25+Models!$B$5+Models!$I$25*Models!$G$25)))</f>
        <v>99.049836852542384</v>
      </c>
      <c r="AJ13" s="214">
        <f>100*EXP(-EXP(Models!$D$62*(ChartData!B13-Models!$C$62+Models!$E$62*Models!$B$4+Models!$F$62*Models!$B$5)))</f>
        <v>78.341126456887338</v>
      </c>
      <c r="AK13" s="220">
        <f>Models!$B$26*Models!$I$26+(200-Models!$B$26*Models!$I$26)/(1+EXP(Models!$C$26*B13*(Models!$B$4*Models!$F$26+Models!$B$5+Models!$I$26*Models!$G$26)))</f>
        <v>98.654204706736877</v>
      </c>
      <c r="AL13" s="220">
        <f>100*EXP(-EXP(Models!$D$63*(ChartData!B13-Models!$C$63+Models!$E$63*Models!$B$4+Models!$F$63*Models!$B$5)))</f>
        <v>81.31499175470519</v>
      </c>
      <c r="AM13" s="226">
        <f>Models!$B$27*Models!$I$27+(200-Models!$B$27*Models!$I$27)/(1+EXP(Models!$C$27*B13*(Models!$B$4*Models!$F$27+Models!$B$5+Models!$I$27*Models!$G$27)))</f>
        <v>103.88458927101946</v>
      </c>
      <c r="AN13" s="226">
        <f>100*EXP(-EXP(Models!$D$64*(ChartData!B13-Models!$C$64+Models!$E$64*Models!$B$4+Models!$F$64*Models!$B$5)))</f>
        <v>81.712149076219447</v>
      </c>
      <c r="AO13" s="232">
        <f>Models!$B$28*Models!$I$28+(200-Models!$B$28*Models!$I$28)/(1+EXP(Models!$C$28*B13*(Models!$B$4*Models!$F$28+Models!$B$5+Models!$I$28*Models!$G$28)))</f>
        <v>98.904701915056393</v>
      </c>
      <c r="AP13" s="232">
        <f>100*EXP(-EXP(Models!$D$65*(ChartData!B13-Models!$C$65+Models!$E$65*Models!$B$4+Models!$F$65*Models!$B$5)))</f>
        <v>41.48821369093011</v>
      </c>
      <c r="AQ13" s="238">
        <f>Models!$B$29*Models!$I$29+(200-Models!$B$29*Models!$I$29)/(1+EXP(Models!$C$29*B13*(Models!$B$4*Models!$F$29+Models!$B$5+Models!$I$29*Models!$G$29)))</f>
        <v>98.392243846798124</v>
      </c>
      <c r="AR13" s="238">
        <f>100*EXP(-EXP(Models!$D$66*(ChartData!B13-Models!$C$66+Models!$E$66*Models!$B$4+Models!$F$66*Models!$B$5)))</f>
        <v>56.080520930209431</v>
      </c>
      <c r="AS13" s="244">
        <f>Models!$B$30*Models!$I$30+(200-Models!$B$30*Models!$I$30)/(1+EXP(Models!$C$30*B13*(Models!$B$4*Models!$F$30+Models!$B$5+Models!$I$30*Models!$G$30)))</f>
        <v>102.81111215111051</v>
      </c>
      <c r="AT13" s="244">
        <f>100*EXP(-EXP(Models!$D$67*(ChartData!B13-Models!$C$67+Models!$E$67*Models!$B$4+Models!$F$67*Models!$B$5)))</f>
        <v>48.578219221427446</v>
      </c>
    </row>
    <row r="14" spans="1:46" x14ac:dyDescent="0.2">
      <c r="A14" s="40" t="s">
        <v>169</v>
      </c>
      <c r="B14">
        <v>120</v>
      </c>
      <c r="C14">
        <f>1-'Front Page'!$C$30</f>
        <v>0.99630303030303036</v>
      </c>
      <c r="D14" s="45">
        <f t="shared" si="0"/>
        <v>98.070765759685742</v>
      </c>
      <c r="E14" s="45">
        <f t="shared" si="1"/>
        <v>59.929169852160193</v>
      </c>
      <c r="F14" s="36">
        <f>Equations!$E$4/(1+EXP(Equations!$F$4*ChartData!B14*(Equations!$G$4*Equations!$C$4+Equations!$D$4)))</f>
        <v>98.853948534585044</v>
      </c>
      <c r="G14" s="36">
        <f>Equations!$E$7*EXP(-EXP(-Equations!$F$7*(ChartData!B14-Equations!$G$7+Equations!$H$7*Equations!$C$7+Equations!$I$7*Equations!$D$7)))</f>
        <v>80.416118126825026</v>
      </c>
      <c r="H14" s="55">
        <f>Models!$B$13+Models!$C$13*EXP(Models!$D$13*ChartData!B14+(Models!$E$13*ChartData!B14*Models!$E$3))</f>
        <v>96.44070010240597</v>
      </c>
      <c r="I14" s="55">
        <f>Models!$B$50*EXP(-EXP(Models!$D$50*(ChartData!B14+Models!$C$50-(Models!$E$50*Models!$B$5))))</f>
        <v>68.94870760247926</v>
      </c>
      <c r="J14" s="57">
        <f>Models!$B$12/(1+EXP(Models!$D$12*(ChartData!B14-Models!$C$12+Models!$E$12*ChartData!B14*Models!$B$5)))</f>
        <v>120.99380257052768</v>
      </c>
      <c r="K14" s="61">
        <f>Models!$B$49*EXP(-EXP(Models!$D$49*(ChartData!B14-Models!$C$49+(Models!$E$49*ChartData!B14*Models!$B$5))))</f>
        <v>12.682306374316452</v>
      </c>
      <c r="L14" s="62">
        <f>Models!$B$15/(1+EXP(Models!$D$15*(ChartData!B14*(1+Models!$D$15*Models!$B$5)-Models!$C$15)))</f>
        <v>87.828699010321358</v>
      </c>
      <c r="M14" s="63">
        <f>Models!$B$52*EXP(-EXP(Models!$D$52*(ChartData!B14*(1+Models!$D$52*Models!$B$5)-Models!$C$52)))</f>
        <v>15.271016405735963</v>
      </c>
      <c r="N14" s="53">
        <f>Models!$B$15/(1+EXP(Models!$D$15*(ChartData!B14-Models!$D$15+Models!$E$15*ChartData!B14*Models!$B$5)))</f>
        <v>84.673414196887236</v>
      </c>
      <c r="O14" s="53">
        <f>Models!$B$52*EXP(-EXP(Models!$D$52*(ChartData!B14-Models!$C$52+Models!$E$52*ChartData!B14*Models!$B$5)))</f>
        <v>18.131991721707003</v>
      </c>
      <c r="P14" s="172">
        <f>Models!$B$16*Models!$I$16+(100-Models!$B$16*Models!$I$16)/(1+EXP(Models!$C$16*(ChartData!B14-Models!$E$16+Models!$B$4*Models!$F$16+Models!$B$4*Models!$G$16*Models!$I$16+Models!$B$5*Models!$H$16)))</f>
        <v>98.374766585700584</v>
      </c>
      <c r="Q14" s="172">
        <f>Models!$B$53*EXP(-EXP(Models!$D$53*(ChartData!B14+Models!$C$53+Models!$B$5*Models!$E$53+Models!$B$4*Models!$F$53)))</f>
        <v>56.652735475424556</v>
      </c>
      <c r="R14" s="136">
        <f>Models!$B$17*Models!$I$17+(100-Models!$B$17*Models!$I$17)/(1+EXP(Models!$C$17*(ChartData!B14-Models!$E$17+Models!$B$4*Models!$F$17+Models!$B$4*Models!$G$17*Models!$I$17+Models!$B$5*Models!$H$17)))</f>
        <v>98.680679586966306</v>
      </c>
      <c r="S14" s="136">
        <f>Models!$B$54*EXP(-EXP(Models!$D$54*(ChartData!B14+Models!$C$54+Models!$B$5*Models!$E$54+Models!$B$4*Models!$F$54)))</f>
        <v>44.197620229043622</v>
      </c>
      <c r="T14" s="180">
        <f>Models!$B$18*Models!$I$18+(100-Models!$B$18*Models!$I$18)/(1+EXP(Models!$C$18*(ChartData!B14-Models!$E$18+Models!$B$4*Models!$F$18+Models!$B$4*Models!$G$18*Models!$I$18+Models!$B$5*Models!$H$18)))</f>
        <v>98.558112342519848</v>
      </c>
      <c r="U14" s="180">
        <f>Models!$B$55*EXP(-EXP(Models!$D$55*(ChartData!B14+Models!$C$55+Models!$B$5*Models!$E$55+Models!$B$4*Models!$F$55)))</f>
        <v>59.929848264409479</v>
      </c>
      <c r="V14" s="36">
        <f>Models!$B$19*Models!$I$19+(100-Models!$B$19*Models!$I$19)/(1+EXP(Models!$C$19*(ChartData!$B14-Models!$E$19+Models!$B$5*ChartData!$B14*Models!$F$19+Models!$B$4*Models!$G$19)))</f>
        <v>92.305987283951552</v>
      </c>
      <c r="W14" s="36">
        <f>Models!$B$56*EXP(-EXP(Models!$D$56*(ChartData!B14+Models!$C$56+Models!$B$5*Models!$E$56+Models!$B$4*Models!$F$56)))</f>
        <v>79.37642329688893</v>
      </c>
      <c r="X14" s="158">
        <f>Models!$B$20*Models!$I$20+(100-Models!$B$20*Models!$I$20)/(1+EXP(Models!$C$20*(ChartData!$B14-Models!$E$20+Models!$B$5*ChartData!$B14*Models!$F$20+Models!$B$4*Models!$G$20)))</f>
        <v>91.977244399311189</v>
      </c>
      <c r="Y14" s="158">
        <f>Models!$B$57*EXP(-EXP(Models!$D$57*(ChartData!B14+Models!$C$57+Models!$B$5*Models!$E$57+Models!$B$4*Models!$F$57)))</f>
        <v>82.675729273456611</v>
      </c>
      <c r="Z14" s="165">
        <f>Models!$B$21*Models!$I$21+(100-Models!$B$21*Models!$I$21)/(1+EXP(Models!$C$21*(ChartData!$B14-Models!$E$21+Models!$B$5*ChartData!$B14*Models!$F$21+Models!$B$4*Models!$G$21)))</f>
        <v>93.092576115918177</v>
      </c>
      <c r="AA14" s="165">
        <f>Models!$B$58*EXP(-EXP(Models!$D$58*(ChartData!B14+Models!$C$58+Models!$B$5*Models!$E$58+Models!$B$4*Models!$F$58)))</f>
        <v>83.118479760548269</v>
      </c>
      <c r="AB14" s="146">
        <f>200/(1+EXP(Models!$D$22*((Models!$E$22*Models!$B$4+Models!$B$5)*ChartData!B14)))</f>
        <v>99.162521769821566</v>
      </c>
      <c r="AC14" s="146">
        <f>100*EXP(-EXP(Models!$D$59*(ChartData!B14-Models!$C$59+Models!$E$59*Models!$B$4+Models!$F$59*Models!$B$5)))</f>
        <v>72.656900054855839</v>
      </c>
      <c r="AD14" s="149">
        <f>200/(1+EXP(Models!$D$23*((Models!$E$23*Models!$B$4+Models!$B$5)*ChartData!B14)))</f>
        <v>98.784201126235331</v>
      </c>
      <c r="AE14" s="149">
        <f>100*EXP(-EXP(Models!$D$60*(ChartData!B14-Models!$C$60+Models!$E$60*Models!$B$4+Models!$F$60*Models!$B$5)))</f>
        <v>75.399779357175291</v>
      </c>
      <c r="AF14" s="153">
        <f>200/(1+EXP(Models!$D$24*((Models!$E$24*Models!$B$4+Models!$B$5)*ChartData!B14)))</f>
        <v>98.663224400823722</v>
      </c>
      <c r="AG14" s="153">
        <f>100*EXP(-EXP(Models!$D$61*(ChartData!B14-Models!$C$61+Models!$E$61*Models!$B$4+Models!$F$61*Models!$B$5)))</f>
        <v>75.991659374437901</v>
      </c>
      <c r="AH14" s="266">
        <f>IF('Front Page'!$C$31&gt;0,1-'Front Page'!$C$31,"")</f>
        <v>0.995</v>
      </c>
      <c r="AI14" s="214">
        <f>Models!$B$25*Models!$I$25+(200-Models!$B$25*Models!$I$25)/(1+EXP(Models!$C$25*B14*(Models!$B$4*Models!$F$25+Models!$B$5+Models!$I$25*Models!$G$25)))</f>
        <v>98.859819320659241</v>
      </c>
      <c r="AJ14" s="214">
        <f>100*EXP(-EXP(Models!$D$62*(ChartData!B14-Models!$C$62+Models!$E$62*Models!$B$4+Models!$F$62*Models!$B$5)))</f>
        <v>79.376221215928666</v>
      </c>
      <c r="AK14" s="220">
        <f>Models!$B$26*Models!$I$26+(200-Models!$B$26*Models!$I$26)/(1+EXP(Models!$C$26*B14*(Models!$B$4*Models!$F$26+Models!$B$5+Models!$I$26*Models!$G$26)))</f>
        <v>98.385088547519132</v>
      </c>
      <c r="AL14" s="220">
        <f>100*EXP(-EXP(Models!$D$63*(ChartData!B14-Models!$C$63+Models!$E$63*Models!$B$4+Models!$F$63*Models!$B$5)))</f>
        <v>82.675438356215324</v>
      </c>
      <c r="AM14" s="226">
        <f>Models!$B$27*Models!$I$27+(200-Models!$B$27*Models!$I$27)/(1+EXP(Models!$C$27*B14*(Models!$B$4*Models!$F$27+Models!$B$5+Models!$I$27*Models!$G$27)))</f>
        <v>103.10530639179835</v>
      </c>
      <c r="AN14" s="226">
        <f>100*EXP(-EXP(Models!$D$64*(ChartData!B14-Models!$C$64+Models!$E$64*Models!$B$4+Models!$F$64*Models!$B$5)))</f>
        <v>83.11822323840191</v>
      </c>
      <c r="AO14" s="232">
        <f>Models!$B$28*Models!$I$28+(200-Models!$B$28*Models!$I$28)/(1+EXP(Models!$C$28*B14*(Models!$B$4*Models!$F$28+Models!$B$5+Models!$I$28*Models!$G$28)))</f>
        <v>98.685665424620538</v>
      </c>
      <c r="AP14" s="232">
        <f>100*EXP(-EXP(Models!$D$65*(ChartData!B14-Models!$C$65+Models!$E$65*Models!$B$4+Models!$F$65*Models!$B$5)))</f>
        <v>44.20440167836118</v>
      </c>
      <c r="AQ14" s="238">
        <f>Models!$B$29*Models!$I$29+(200-Models!$B$29*Models!$I$29)/(1+EXP(Models!$C$29*B14*(Models!$B$4*Models!$F$29+Models!$B$5+Models!$I$29*Models!$G$29)))</f>
        <v>98.070765759685742</v>
      </c>
      <c r="AR14" s="238">
        <f>100*EXP(-EXP(Models!$D$66*(ChartData!B14-Models!$C$66+Models!$E$66*Models!$B$4+Models!$F$66*Models!$B$5)))</f>
        <v>59.929169852160193</v>
      </c>
      <c r="AS14" s="244">
        <f>Models!$B$30*Models!$I$30+(200-Models!$B$30*Models!$I$30)/(1+EXP(Models!$C$30*B14*(Models!$B$4*Models!$F$30+Models!$B$5+Models!$I$30*Models!$G$30)))</f>
        <v>102.41062696469305</v>
      </c>
      <c r="AT14" s="244">
        <f>100*EXP(-EXP(Models!$D$67*(ChartData!B14-Models!$C$67+Models!$E$67*Models!$B$4+Models!$F$67*Models!$B$5)))</f>
        <v>51.995062725586649</v>
      </c>
    </row>
    <row r="15" spans="1:46" x14ac:dyDescent="0.2">
      <c r="A15" s="38" t="s">
        <v>145</v>
      </c>
      <c r="B15">
        <v>140</v>
      </c>
      <c r="C15">
        <f>1-'Front Page'!$C$30</f>
        <v>0.99630303030303036</v>
      </c>
      <c r="D15" s="45">
        <f t="shared" si="0"/>
        <v>97.749327559033304</v>
      </c>
      <c r="E15" s="45">
        <f t="shared" si="1"/>
        <v>63.55597705346819</v>
      </c>
      <c r="F15" s="36">
        <f>Equations!$E$4/(1+EXP(Equations!$F$4*ChartData!B15*(Equations!$G$4*Equations!$C$4+Equations!$D$4)))</f>
        <v>98.662961095893195</v>
      </c>
      <c r="G15" s="36">
        <f>Equations!$E$7*EXP(-EXP(-Equations!$F$7*(ChartData!B15-Equations!$G$7+Equations!$H$7*Equations!$C$7+Equations!$I$7*Equations!$D$7)))</f>
        <v>81.56184904160655</v>
      </c>
      <c r="H15" s="55">
        <f>Models!$B$13+Models!$C$13*EXP(Models!$D$13*ChartData!B15+(Models!$E$13*ChartData!B15*Models!$E$3))</f>
        <v>95.862859483752374</v>
      </c>
      <c r="I15" s="55">
        <f>Models!$B$50*EXP(-EXP(Models!$D$50*(ChartData!B15+Models!$C$50-(Models!$E$50*Models!$B$5))))</f>
        <v>70.095981630530446</v>
      </c>
      <c r="J15" s="57">
        <f>Models!$B$12/(1+EXP(Models!$D$12*(ChartData!B15-Models!$C$12+Models!$E$12*ChartData!B15*Models!$B$5)))</f>
        <v>120.98712201339107</v>
      </c>
      <c r="K15" s="61">
        <f>Models!$B$49*EXP(-EXP(Models!$D$49*(ChartData!B15-Models!$C$49+(Models!$E$49*ChartData!B15*Models!$B$5))))</f>
        <v>16.616950727408422</v>
      </c>
      <c r="L15" s="62">
        <f>Models!$B$15/(1+EXP(Models!$D$15*(ChartData!B15*(1+Models!$D$15*Models!$B$5)-Models!$C$15)))</f>
        <v>85.570336733274189</v>
      </c>
      <c r="M15" s="63">
        <f>Models!$B$52*EXP(-EXP(Models!$D$52*(ChartData!B15*(1+Models!$D$52*Models!$B$5)-Models!$C$52)))</f>
        <v>19.944492547304911</v>
      </c>
      <c r="N15" s="53">
        <f>Models!$B$15/(1+EXP(Models!$D$15*(ChartData!B15-Models!$D$15+Models!$E$15*ChartData!B15*Models!$B$5)))</f>
        <v>82.16956817206291</v>
      </c>
      <c r="O15" s="53">
        <f>Models!$B$52*EXP(-EXP(Models!$D$52*(ChartData!B15-Models!$C$52+Models!$E$52*ChartData!B15*Models!$B$5)))</f>
        <v>23.652921864843972</v>
      </c>
      <c r="P15" s="172">
        <f>Models!$B$16*Models!$I$16+(100-Models!$B$16*Models!$I$16)/(1+EXP(Models!$C$16*(ChartData!B15-Models!$E$16+Models!$B$4*Models!$F$16+Models!$B$4*Models!$G$16*Models!$I$16+Models!$B$5*Models!$H$16)))</f>
        <v>98.299861481836899</v>
      </c>
      <c r="Q15" s="172">
        <f>Models!$B$53*EXP(-EXP(Models!$D$53*(ChartData!B15+Models!$C$53+Models!$B$5*Models!$E$53+Models!$B$4*Models!$F$53)))</f>
        <v>60.173424705526692</v>
      </c>
      <c r="R15" s="136">
        <f>Models!$B$17*Models!$I$17+(100-Models!$B$17*Models!$I$17)/(1+EXP(Models!$C$17*(ChartData!B15-Models!$E$17+Models!$B$4*Models!$F$17+Models!$B$4*Models!$G$17*Models!$I$17+Models!$B$5*Models!$H$17)))</f>
        <v>98.632534861187636</v>
      </c>
      <c r="S15" s="136">
        <f>Models!$B$54*EXP(-EXP(Models!$D$54*(ChartData!B15+Models!$C$54+Models!$B$5*Models!$E$54+Models!$B$4*Models!$F$54)))</f>
        <v>46.876941934853583</v>
      </c>
      <c r="T15" s="180">
        <f>Models!$B$18*Models!$I$18+(100-Models!$B$18*Models!$I$18)/(1+EXP(Models!$C$18*(ChartData!B15-Models!$E$18+Models!$B$4*Models!$F$18+Models!$B$4*Models!$G$18*Models!$I$18+Models!$B$5*Models!$H$18)))</f>
        <v>98.479189489284764</v>
      </c>
      <c r="U15" s="180">
        <f>Models!$B$55*EXP(-EXP(Models!$D$55*(ChartData!B15+Models!$C$55+Models!$B$5*Models!$E$55+Models!$B$4*Models!$F$55)))</f>
        <v>63.556671568364166</v>
      </c>
      <c r="V15" s="36">
        <f>Models!$B$19*Models!$I$19+(100-Models!$B$19*Models!$I$19)/(1+EXP(Models!$C$19*(ChartData!$B15-Models!$E$19+Models!$B$5*ChartData!$B15*Models!$F$19+Models!$B$4*Models!$G$19)))</f>
        <v>92.2170138685957</v>
      </c>
      <c r="W15" s="36">
        <f>Models!$B$56*EXP(-EXP(Models!$D$56*(ChartData!B15+Models!$C$56+Models!$B$5*Models!$E$56+Models!$B$4*Models!$F$56)))</f>
        <v>80.368438240692058</v>
      </c>
      <c r="X15" s="158">
        <f>Models!$B$20*Models!$I$20+(100-Models!$B$20*Models!$I$20)/(1+EXP(Models!$C$20*(ChartData!$B15-Models!$E$20+Models!$B$5*ChartData!$B15*Models!$F$20+Models!$B$4*Models!$G$20)))</f>
        <v>91.840604143022858</v>
      </c>
      <c r="Y15" s="158">
        <f>Models!$B$57*EXP(-EXP(Models!$D$57*(ChartData!B15+Models!$C$57+Models!$B$5*Models!$E$57+Models!$B$4*Models!$F$57)))</f>
        <v>83.947141055012438</v>
      </c>
      <c r="Z15" s="165">
        <f>Models!$B$21*Models!$I$21+(100-Models!$B$21*Models!$I$21)/(1+EXP(Models!$C$21*(ChartData!$B15-Models!$E$21+Models!$B$5*ChartData!$B15*Models!$F$21+Models!$B$4*Models!$G$21)))</f>
        <v>92.963135268622324</v>
      </c>
      <c r="AA15" s="165">
        <f>Models!$B$58*EXP(-EXP(Models!$D$58*(ChartData!B15+Models!$C$58+Models!$B$5*Models!$E$58+Models!$B$4*Models!$F$58)))</f>
        <v>84.426962809879385</v>
      </c>
      <c r="AB15" s="146">
        <f>200/(1+EXP(Models!$D$22*((Models!$E$22*Models!$B$4+Models!$B$5)*ChartData!B15)))</f>
        <v>99.022950313551632</v>
      </c>
      <c r="AC15" s="146">
        <f>100*EXP(-EXP(Models!$D$59*(ChartData!B15-Models!$C$59+Models!$E$59*Models!$B$4+Models!$F$59*Models!$B$5)))</f>
        <v>73.543217803955656</v>
      </c>
      <c r="AD15" s="149">
        <f>200/(1+EXP(Models!$D$23*((Models!$E$23*Models!$B$4+Models!$B$5)*ChartData!B15)))</f>
        <v>98.581593218621123</v>
      </c>
      <c r="AE15" s="149">
        <f>100*EXP(-EXP(Models!$D$60*(ChartData!B15-Models!$C$60+Models!$E$60*Models!$B$4+Models!$F$60*Models!$B$5)))</f>
        <v>76.596589971825367</v>
      </c>
      <c r="AF15" s="153">
        <f>200/(1+EXP(Models!$D$24*((Models!$E$24*Models!$B$4+Models!$B$5)*ChartData!B15)))</f>
        <v>98.440462014051334</v>
      </c>
      <c r="AG15" s="153">
        <f>100*EXP(-EXP(Models!$D$61*(ChartData!B15-Models!$C$61+Models!$E$61*Models!$B$4+Models!$F$61*Models!$B$5)))</f>
        <v>77.250204668518279</v>
      </c>
      <c r="AH15" s="266">
        <f>IF('Front Page'!$C$31&gt;0,1-'Front Page'!$C$31,"")</f>
        <v>0.995</v>
      </c>
      <c r="AI15" s="214">
        <f>Models!$B$25*Models!$I$25+(200-Models!$B$25*Models!$I$25)/(1+EXP(Models!$C$25*B15*(Models!$B$4*Models!$F$25+Models!$B$5+Models!$I$25*Models!$G$25)))</f>
        <v>98.669810023113499</v>
      </c>
      <c r="AJ15" s="214">
        <f>100*EXP(-EXP(Models!$D$62*(ChartData!B15-Models!$C$62+Models!$E$62*Models!$B$4+Models!$F$62*Models!$B$5)))</f>
        <v>80.368244636731802</v>
      </c>
      <c r="AK15" s="220">
        <f>Models!$B$26*Models!$I$26+(200-Models!$B$26*Models!$I$26)/(1+EXP(Models!$C$26*B15*(Models!$B$4*Models!$F$26+Models!$B$5+Models!$I$26*Models!$G$26)))</f>
        <v>98.115995783879541</v>
      </c>
      <c r="AL15" s="220">
        <f>100*EXP(-EXP(Models!$D$63*(ChartData!B15-Models!$C$63+Models!$E$63*Models!$B$4+Models!$F$63*Models!$B$5)))</f>
        <v>83.946839980889195</v>
      </c>
      <c r="AM15" s="226">
        <f>Models!$B$27*Models!$I$27+(200-Models!$B$27*Models!$I$27)/(1+EXP(Models!$C$27*B15*(Models!$B$4*Models!$F$27+Models!$B$5+Models!$I$27*Models!$G$27)))</f>
        <v>102.32669340069815</v>
      </c>
      <c r="AN15" s="226">
        <f>100*EXP(-EXP(Models!$D$64*(ChartData!B15-Models!$C$64+Models!$E$64*Models!$B$4+Models!$F$64*Models!$B$5)))</f>
        <v>84.426724260366484</v>
      </c>
      <c r="AO15" s="232">
        <f>Models!$B$28*Models!$I$28+(200-Models!$B$28*Models!$I$28)/(1+EXP(Models!$C$28*B15*(Models!$B$4*Models!$F$28+Models!$B$5+Models!$I$28*Models!$G$28)))</f>
        <v>98.466641547199117</v>
      </c>
      <c r="AP15" s="232">
        <f>100*EXP(-EXP(Models!$D$65*(ChartData!B15-Models!$C$65+Models!$E$65*Models!$B$4+Models!$F$65*Models!$B$5)))</f>
        <v>46.883615994235669</v>
      </c>
      <c r="AQ15" s="238">
        <f>Models!$B$29*Models!$I$29+(200-Models!$B$29*Models!$I$29)/(1+EXP(Models!$C$29*B15*(Models!$B$4*Models!$F$29+Models!$B$5+Models!$I$29*Models!$G$29)))</f>
        <v>97.749327559033304</v>
      </c>
      <c r="AR15" s="238">
        <f>100*EXP(-EXP(Models!$D$66*(ChartData!B15-Models!$C$66+Models!$E$66*Models!$B$4+Models!$F$66*Models!$B$5)))</f>
        <v>63.55597705346819</v>
      </c>
      <c r="AS15" s="244">
        <f>Models!$B$30*Models!$I$30+(200-Models!$B$30*Models!$I$30)/(1+EXP(Models!$C$30*B15*(Models!$B$4*Models!$F$30+Models!$B$5+Models!$I$30*Models!$G$30)))</f>
        <v>102.01022691622066</v>
      </c>
      <c r="AT15" s="244">
        <f>100*EXP(-EXP(Models!$D$67*(ChartData!B15-Models!$C$67+Models!$E$67*Models!$B$4+Models!$F$67*Models!$B$5)))</f>
        <v>55.297227973514218</v>
      </c>
    </row>
    <row r="16" spans="1:46" ht="13.5" thickBot="1" x14ac:dyDescent="0.25">
      <c r="A16" s="131" t="s">
        <v>294</v>
      </c>
      <c r="B16">
        <v>160</v>
      </c>
      <c r="C16">
        <f>1-'Front Page'!$C$30</f>
        <v>0.99630303030303036</v>
      </c>
      <c r="D16" s="45">
        <f t="shared" si="0"/>
        <v>97.427935884245073</v>
      </c>
      <c r="E16" s="45">
        <f t="shared" si="1"/>
        <v>66.949307126970254</v>
      </c>
      <c r="F16" s="36">
        <f>Equations!$E$4/(1+EXP(Equations!$F$4*ChartData!B16*(Equations!$G$4*Equations!$C$4+Equations!$D$4)))</f>
        <v>98.47198341246721</v>
      </c>
      <c r="G16" s="36">
        <f>Equations!$E$7*EXP(-EXP(-Equations!$F$7*(ChartData!B16-Equations!$G$7+Equations!$H$7*Equations!$C$7+Equations!$I$7*Equations!$D$7)))</f>
        <v>82.647977610026615</v>
      </c>
      <c r="H16" s="55">
        <f>Models!$B$13+Models!$C$13*EXP(Models!$D$13*ChartData!B16+(Models!$E$13*ChartData!B16*Models!$E$3))</f>
        <v>95.289324987949414</v>
      </c>
      <c r="I16" s="55">
        <f>Models!$B$50*EXP(-EXP(Models!$D$50*(ChartData!B16+Models!$C$50-(Models!$E$50*Models!$B$5))))</f>
        <v>71.210167648146665</v>
      </c>
      <c r="J16" s="57">
        <f>Models!$B$12/(1+EXP(Models!$D$12*(ChartData!B16-Models!$C$12+Models!$E$12*ChartData!B16*Models!$B$5)))</f>
        <v>120.97324170129592</v>
      </c>
      <c r="K16" s="61">
        <f>Models!$B$49*EXP(-EXP(Models!$D$49*(ChartData!B16-Models!$C$49+(Models!$E$49*ChartData!B16*Models!$B$5))))</f>
        <v>21.015895991448978</v>
      </c>
      <c r="L16" s="62">
        <f>Models!$B$15/(1+EXP(Models!$D$15*(ChartData!B16*(1+Models!$D$15*Models!$B$5)-Models!$C$15)))</f>
        <v>83.326906884451148</v>
      </c>
      <c r="M16" s="63">
        <f>Models!$B$52*EXP(-EXP(Models!$D$52*(ChartData!B16*(1+Models!$D$52*Models!$B$5)-Models!$C$52)))</f>
        <v>25.07859987716007</v>
      </c>
      <c r="N16" s="53">
        <f>Models!$B$15/(1+EXP(Models!$D$15*(ChartData!B16-Models!$D$15+Models!$E$15*ChartData!B16*Models!$B$5)))</f>
        <v>79.688601927892449</v>
      </c>
      <c r="O16" s="53">
        <f>Models!$B$52*EXP(-EXP(Models!$D$52*(ChartData!B16-Models!$C$52+Models!$E$52*ChartData!B16*Models!$B$5)))</f>
        <v>29.604205858206562</v>
      </c>
      <c r="P16" s="172">
        <f>Models!$B$16*Models!$I$16+(100-Models!$B$16*Models!$I$16)/(1+EXP(Models!$C$16*(ChartData!B16-Models!$E$16+Models!$B$4*Models!$F$16+Models!$B$4*Models!$G$16*Models!$I$16+Models!$B$5*Models!$H$16)))</f>
        <v>98.221566500477337</v>
      </c>
      <c r="Q16" s="172">
        <f>Models!$B$53*EXP(-EXP(Models!$D$53*(ChartData!B16+Models!$C$53+Models!$B$5*Models!$E$53+Models!$B$4*Models!$F$53)))</f>
        <v>63.505363612780521</v>
      </c>
      <c r="R16" s="136">
        <f>Models!$B$17*Models!$I$17+(100-Models!$B$17*Models!$I$17)/(1+EXP(Models!$C$17*(ChartData!B16-Models!$E$17+Models!$B$4*Models!$F$17+Models!$B$4*Models!$G$17*Models!$I$17+Models!$B$5*Models!$H$17)))</f>
        <v>98.582658469163917</v>
      </c>
      <c r="S16" s="136">
        <f>Models!$B$54*EXP(-EXP(Models!$D$54*(ChartData!B16+Models!$C$54+Models!$B$5*Models!$E$54+Models!$B$4*Models!$F$54)))</f>
        <v>49.508208679073554</v>
      </c>
      <c r="T16" s="180">
        <f>Models!$B$18*Models!$I$18+(100-Models!$B$18*Models!$I$18)/(1+EXP(Models!$C$18*(ChartData!B16-Models!$E$18+Models!$B$4*Models!$F$18+Models!$B$4*Models!$G$18*Models!$I$18+Models!$B$5*Models!$H$18)))</f>
        <v>98.396023405052716</v>
      </c>
      <c r="U16" s="180">
        <f>Models!$B$55*EXP(-EXP(Models!$D$55*(ChartData!B16+Models!$C$55+Models!$B$5*Models!$E$55+Models!$B$4*Models!$F$55)))</f>
        <v>66.950008488747031</v>
      </c>
      <c r="V16" s="36">
        <f>Models!$B$19*Models!$I$19+(100-Models!$B$19*Models!$I$19)/(1+EXP(Models!$C$19*(ChartData!$B16-Models!$E$19+Models!$B$5*ChartData!$B16*Models!$F$19+Models!$B$4*Models!$G$19)))</f>
        <v>92.127099321504772</v>
      </c>
      <c r="W16" s="36">
        <f>Models!$B$56*EXP(-EXP(Models!$D$56*(ChartData!B16+Models!$C$56+Models!$B$5*Models!$E$56+Models!$B$4*Models!$F$56)))</f>
        <v>81.31852158235013</v>
      </c>
      <c r="X16" s="158">
        <f>Models!$B$20*Models!$I$20+(100-Models!$B$20*Models!$I$20)/(1+EXP(Models!$C$20*(ChartData!$B16-Models!$E$20+Models!$B$5*ChartData!$B16*Models!$F$20+Models!$B$4*Models!$G$20)))</f>
        <v>91.701846645549466</v>
      </c>
      <c r="Y16" s="158">
        <f>Models!$B$57*EXP(-EXP(Models!$D$57*(ChartData!B16+Models!$C$57+Models!$B$5*Models!$E$57+Models!$B$4*Models!$F$57)))</f>
        <v>85.133816379550936</v>
      </c>
      <c r="Z16" s="165">
        <f>Models!$B$21*Models!$I$21+(100-Models!$B$21*Models!$I$21)/(1+EXP(Models!$C$21*(ChartData!$B16-Models!$E$21+Models!$B$5*ChartData!$B16*Models!$F$21+Models!$B$4*Models!$G$21)))</f>
        <v>92.831485833026349</v>
      </c>
      <c r="AA16" s="165">
        <f>Models!$B$58*EXP(-EXP(Models!$D$58*(ChartData!B16+Models!$C$58+Models!$B$5*Models!$E$58+Models!$B$4*Models!$F$58)))</f>
        <v>85.642965334318163</v>
      </c>
      <c r="AB16" s="146">
        <f>200/(1+EXP(Models!$D$22*((Models!$E$22*Models!$B$4+Models!$B$5)*ChartData!B16)))</f>
        <v>98.883382664164273</v>
      </c>
      <c r="AC16" s="146">
        <f>100*EXP(-EXP(Models!$D$59*(ChartData!B16-Models!$C$59+Models!$E$59*Models!$B$4+Models!$F$59*Models!$B$5)))</f>
        <v>74.406094505746395</v>
      </c>
      <c r="AD16" s="149">
        <f>200/(1+EXP(Models!$D$23*((Models!$E$23*Models!$B$4+Models!$B$5)*ChartData!B16)))</f>
        <v>98.378996957790221</v>
      </c>
      <c r="AE16" s="149">
        <f>100*EXP(-EXP(Models!$D$60*(ChartData!B16-Models!$C$60+Models!$E$60*Models!$B$4+Models!$F$60*Models!$B$5)))</f>
        <v>77.744083621815719</v>
      </c>
      <c r="AF16" s="153">
        <f>200/(1+EXP(Models!$D$24*((Models!$E$24*Models!$B$4+Models!$B$5)*ChartData!B16)))</f>
        <v>98.217715107784386</v>
      </c>
      <c r="AG16" s="153">
        <f>100*EXP(-EXP(Models!$D$61*(ChartData!B16-Models!$C$61+Models!$E$61*Models!$B$4+Models!$F$61*Models!$B$5)))</f>
        <v>78.452455890789707</v>
      </c>
      <c r="AH16" s="266">
        <f>IF('Front Page'!$C$31&gt;0,1-'Front Page'!$C$31,"")</f>
        <v>0.995</v>
      </c>
      <c r="AI16" s="214">
        <f>Models!$B$25*Models!$I$25+(200-Models!$B$25*Models!$I$25)/(1+EXP(Models!$C$25*B16*(Models!$B$4*Models!$F$25+Models!$B$5+Models!$I$25*Models!$G$25)))</f>
        <v>98.479810331693514</v>
      </c>
      <c r="AJ16" s="214">
        <f>100*EXP(-EXP(Models!$D$62*(ChartData!B16-Models!$C$62+Models!$E$62*Models!$B$4+Models!$F$62*Models!$B$5)))</f>
        <v>81.318336223632144</v>
      </c>
      <c r="AK16" s="220">
        <f>Models!$B$26*Models!$I$26+(200-Models!$B$26*Models!$I$26)/(1+EXP(Models!$C$26*B16*(Models!$B$4*Models!$F$26+Models!$B$5+Models!$I$26*Models!$G$26)))</f>
        <v>97.846930311653736</v>
      </c>
      <c r="AL16" s="220">
        <f>100*EXP(-EXP(Models!$D$63*(ChartData!B16-Models!$C$63+Models!$E$63*Models!$B$4+Models!$F$63*Models!$B$5)))</f>
        <v>85.133508138409482</v>
      </c>
      <c r="AM16" s="226">
        <f>Models!$B$27*Models!$I$27+(200-Models!$B$27*Models!$I$27)/(1+EXP(Models!$C$27*B16*(Models!$B$4*Models!$F$27+Models!$B$5+Models!$I$27*Models!$G$27)))</f>
        <v>101.54886097578817</v>
      </c>
      <c r="AN16" s="226">
        <f>100*EXP(-EXP(Models!$D$64*(ChartData!B16-Models!$C$64+Models!$E$64*Models!$B$4+Models!$F$64*Models!$B$5)))</f>
        <v>85.64274379074628</v>
      </c>
      <c r="AO16" s="232">
        <f>Models!$B$28*Models!$I$28+(200-Models!$B$28*Models!$I$28)/(1+EXP(Models!$C$28*B16*(Models!$B$4*Models!$F$28+Models!$B$5+Models!$I$28*Models!$G$28)))</f>
        <v>98.247632383737326</v>
      </c>
      <c r="AP16" s="232">
        <f>100*EXP(-EXP(Models!$D$65*(ChartData!B16-Models!$C$65+Models!$E$65*Models!$B$4+Models!$F$65*Models!$B$5)))</f>
        <v>49.514749245184994</v>
      </c>
      <c r="AQ16" s="238">
        <f>Models!$B$29*Models!$I$29+(200-Models!$B$29*Models!$I$29)/(1+EXP(Models!$C$29*B16*(Models!$B$4*Models!$F$29+Models!$B$5+Models!$I$29*Models!$G$29)))</f>
        <v>97.427935884245073</v>
      </c>
      <c r="AR16" s="238">
        <f>100*EXP(-EXP(Models!$D$66*(ChartData!B16-Models!$C$66+Models!$E$66*Models!$B$4+Models!$F$66*Models!$B$5)))</f>
        <v>66.949307126970254</v>
      </c>
      <c r="AS16" s="244">
        <f>Models!$B$30*Models!$I$30+(200-Models!$B$30*Models!$I$30)/(1+EXP(Models!$C$30*B16*(Models!$B$4*Models!$F$30+Models!$B$5+Models!$I$30*Models!$G$30)))</f>
        <v>101.60992616485383</v>
      </c>
      <c r="AT16" s="244">
        <f>100*EXP(-EXP(Models!$D$67*(ChartData!B16-Models!$C$67+Models!$E$67*Models!$B$4+Models!$F$67*Models!$B$5)))</f>
        <v>58.469181211534263</v>
      </c>
    </row>
    <row r="17" spans="1:46" x14ac:dyDescent="0.2">
      <c r="A17" s="120" t="s">
        <v>295</v>
      </c>
      <c r="B17">
        <v>180</v>
      </c>
      <c r="C17">
        <f>1-'Front Page'!$C$30</f>
        <v>0.99630303030303036</v>
      </c>
      <c r="D17" s="45">
        <f t="shared" si="0"/>
        <v>97.106597370879186</v>
      </c>
      <c r="E17" s="45">
        <f t="shared" si="1"/>
        <v>70.104095634319577</v>
      </c>
      <c r="F17" s="36">
        <f>Equations!$E$4/(1+EXP(Equations!$F$4*ChartData!B17*(Equations!$G$4*Equations!$C$4+Equations!$D$4)))</f>
        <v>98.281016877103013</v>
      </c>
      <c r="G17" s="36">
        <f>Equations!$E$7*EXP(-EXP(-Equations!$F$7*(ChartData!B17-Equations!$G$7+Equations!$H$7*Equations!$C$7+Equations!$I$7*Equations!$D$7)))</f>
        <v>83.67669019278442</v>
      </c>
      <c r="H17" s="55">
        <f>Models!$B$13+Models!$C$13*EXP(Models!$D$13*ChartData!B17+(Models!$E$13*ChartData!B17*Models!$E$3))</f>
        <v>94.720064525363057</v>
      </c>
      <c r="I17" s="55">
        <f>Models!$B$50*EXP(-EXP(Models!$D$50*(ChartData!B17+Models!$C$50-(Models!$E$50*Models!$B$5))))</f>
        <v>72.291445324355493</v>
      </c>
      <c r="J17" s="57">
        <f>Models!$B$12/(1+EXP(Models!$D$12*(ChartData!B17-Models!$C$12+Models!$E$12*ChartData!B17*Models!$B$5)))</f>
        <v>120.94440761242392</v>
      </c>
      <c r="K17" s="61">
        <f>Models!$B$49*EXP(-EXP(Models!$D$49*(ChartData!B17-Models!$C$49+(Models!$E$49*ChartData!B17*Models!$B$5))))</f>
        <v>25.774929613816806</v>
      </c>
      <c r="L17" s="62">
        <f>Models!$B$15/(1+EXP(Models!$D$15*(ChartData!B17*(1+Models!$D$15*Models!$B$5)-Models!$C$15)))</f>
        <v>81.100608170254461</v>
      </c>
      <c r="M17" s="63">
        <f>Models!$B$52*EXP(-EXP(Models!$D$52*(ChartData!B17*(1+Models!$D$52*Models!$B$5)-Models!$C$52)))</f>
        <v>30.524569167035665</v>
      </c>
      <c r="N17" s="53">
        <f>Models!$B$15/(1+EXP(Models!$D$15*(ChartData!B17-Models!$D$15+Models!$E$15*ChartData!B17*Models!$B$5)))</f>
        <v>77.233444438044344</v>
      </c>
      <c r="O17" s="53">
        <f>Models!$B$52*EXP(-EXP(Models!$D$52*(ChartData!B17-Models!$C$52+Models!$E$52*ChartData!B17*Models!$B$5)))</f>
        <v>35.780705310551625</v>
      </c>
      <c r="P17" s="172">
        <f>Models!$B$16*Models!$I$16+(100-Models!$B$16*Models!$I$16)/(1+EXP(Models!$C$16*(ChartData!B17-Models!$E$16+Models!$B$4*Models!$F$16+Models!$B$4*Models!$G$16*Models!$I$16+Models!$B$5*Models!$H$16)))</f>
        <v>98.13973410407786</v>
      </c>
      <c r="Q17" s="172">
        <f>Models!$B$53*EXP(-EXP(Models!$D$53*(ChartData!B17+Models!$C$53+Models!$B$5*Models!$E$53+Models!$B$4*Models!$F$53)))</f>
        <v>66.639646858027206</v>
      </c>
      <c r="R17" s="136">
        <f>Models!$B$17*Models!$I$17+(100-Models!$B$17*Models!$I$17)/(1+EXP(Models!$C$17*(ChartData!B17-Models!$E$17+Models!$B$4*Models!$F$17+Models!$B$4*Models!$G$17*Models!$I$17+Models!$B$5*Models!$H$17)))</f>
        <v>98.530989999327531</v>
      </c>
      <c r="S17" s="136">
        <f>Models!$B$54*EXP(-EXP(Models!$D$54*(ChartData!B17+Models!$C$54+Models!$B$5*Models!$E$54+Models!$B$4*Models!$F$54)))</f>
        <v>52.081743563286018</v>
      </c>
      <c r="T17" s="180">
        <f>Models!$B$18*Models!$I$18+(100-Models!$B$18*Models!$I$18)/(1+EXP(Models!$C$18*(ChartData!B17-Models!$E$18+Models!$B$4*Models!$F$18+Models!$B$4*Models!$G$18*Models!$I$18+Models!$B$5*Models!$H$18)))</f>
        <v>98.308394558416097</v>
      </c>
      <c r="U17" s="180">
        <f>Models!$B$55*EXP(-EXP(Models!$D$55*(ChartData!B17+Models!$C$55+Models!$B$5*Models!$E$55+Models!$B$4*Models!$F$55)))</f>
        <v>70.104795564106382</v>
      </c>
      <c r="V17" s="36">
        <f>Models!$B$19*Models!$I$19+(100-Models!$B$19*Models!$I$19)/(1+EXP(Models!$C$19*(ChartData!$B17-Models!$E$19+Models!$B$5*ChartData!$B17*Models!$F$19+Models!$B$4*Models!$G$19)))</f>
        <v>92.036235724026326</v>
      </c>
      <c r="W17" s="36">
        <f>Models!$B$56*EXP(-EXP(Models!$D$56*(ChartData!B17+Models!$C$56+Models!$B$5*Models!$E$56+Models!$B$4*Models!$F$56)))</f>
        <v>82.227854606983456</v>
      </c>
      <c r="X17" s="158">
        <f>Models!$B$20*Models!$I$20+(100-Models!$B$20*Models!$I$20)/(1+EXP(Models!$C$20*(ChartData!$B17-Models!$E$20+Models!$B$5*ChartData!$B17*Models!$F$20+Models!$B$4*Models!$G$20)))</f>
        <v>91.560946285570509</v>
      </c>
      <c r="Y17" s="158">
        <f>Models!$B$57*EXP(-EXP(Models!$D$57*(ChartData!B17+Models!$C$57+Models!$B$5*Models!$E$57+Models!$B$4*Models!$F$57)))</f>
        <v>86.240102170164462</v>
      </c>
      <c r="Z17" s="165">
        <f>Models!$B$21*Models!$I$21+(100-Models!$B$21*Models!$I$21)/(1+EXP(Models!$C$21*(ChartData!$B17-Models!$E$21+Models!$B$5*ChartData!$B17*Models!$F$21+Models!$B$4*Models!$G$21)))</f>
        <v>92.697598302068741</v>
      </c>
      <c r="AA17" s="165">
        <f>Models!$B$58*EXP(-EXP(Models!$D$58*(ChartData!B17+Models!$C$58+Models!$B$5*Models!$E$58+Models!$B$4*Models!$F$58)))</f>
        <v>86.771596729474325</v>
      </c>
      <c r="AB17" s="146">
        <f>200/(1+EXP(Models!$D$22*((Models!$E$22*Models!$B$4+Models!$B$5)*ChartData!B17)))</f>
        <v>98.743819365330353</v>
      </c>
      <c r="AC17" s="146">
        <f>100*EXP(-EXP(Models!$D$59*(ChartData!B17-Models!$C$59+Models!$E$59*Models!$B$4+Models!$F$59*Models!$B$5)))</f>
        <v>75.245770941938304</v>
      </c>
      <c r="AD17" s="149">
        <f>200/(1+EXP(Models!$D$23*((Models!$E$23*Models!$B$4+Models!$B$5)*ChartData!B17)))</f>
        <v>98.176414006475753</v>
      </c>
      <c r="AE17" s="149">
        <f>100*EXP(-EXP(Models!$D$60*(ChartData!B17-Models!$C$60+Models!$E$60*Models!$B$4+Models!$F$60*Models!$B$5)))</f>
        <v>78.843353662803423</v>
      </c>
      <c r="AF17" s="153">
        <f>200/(1+EXP(Models!$D$24*((Models!$E$24*Models!$B$4+Models!$B$5)*ChartData!B17)))</f>
        <v>97.994985891767314</v>
      </c>
      <c r="AG17" s="153">
        <f>100*EXP(-EXP(Models!$D$61*(ChartData!B17-Models!$C$61+Models!$E$61*Models!$B$4+Models!$F$61*Models!$B$5)))</f>
        <v>79.59983683268392</v>
      </c>
      <c r="AH17" s="266">
        <f>IF('Front Page'!$C$31&gt;0,1-'Front Page'!$C$31,"")</f>
        <v>0.995</v>
      </c>
      <c r="AI17" s="214">
        <f>Models!$B$25*Models!$I$25+(200-Models!$B$25*Models!$I$25)/(1+EXP(Models!$C$25*B17*(Models!$B$4*Models!$F$25+Models!$B$5+Models!$I$25*Models!$G$25)))</f>
        <v>98.289821617910007</v>
      </c>
      <c r="AJ17" s="214">
        <f>100*EXP(-EXP(Models!$D$62*(ChartData!B17-Models!$C$62+Models!$E$62*Models!$B$4+Models!$F$62*Models!$B$5)))</f>
        <v>82.227677254475012</v>
      </c>
      <c r="AK17" s="220">
        <f>Models!$B$26*Models!$I$26+(200-Models!$B$26*Models!$I$26)/(1+EXP(Models!$C$26*B17*(Models!$B$4*Models!$F$26+Models!$B$5+Models!$I$26*Models!$G$26)))</f>
        <v>97.577896025096379</v>
      </c>
      <c r="AL17" s="220">
        <f>100*EXP(-EXP(Models!$D$63*(ChartData!B17-Models!$C$63+Models!$E$63*Models!$B$4+Models!$F$63*Models!$B$5)))</f>
        <v>86.23978943809405</v>
      </c>
      <c r="AM17" s="226">
        <f>Models!$B$27*Models!$I$27+(200-Models!$B$27*Models!$I$27)/(1+EXP(Models!$C$27*B17*(Models!$B$4*Models!$F$27+Models!$B$5+Models!$I$27*Models!$G$27)))</f>
        <v>100.77191934964677</v>
      </c>
      <c r="AN17" s="226">
        <f>100*EXP(-EXP(Models!$D$64*(ChartData!B17-Models!$C$64+Models!$E$64*Models!$B$4+Models!$F$64*Models!$B$5)))</f>
        <v>86.771391227910271</v>
      </c>
      <c r="AO17" s="232">
        <f>Models!$B$28*Models!$I$28+(200-Models!$B$28*Models!$I$28)/(1+EXP(Models!$C$28*B17*(Models!$B$4*Models!$F$28+Models!$B$5+Models!$I$28*Models!$G$28)))</f>
        <v>98.028640034615563</v>
      </c>
      <c r="AP17" s="232">
        <f>100*EXP(-EXP(Models!$D$65*(ChartData!B17-Models!$C$65+Models!$E$65*Models!$B$4+Models!$F$65*Models!$B$5)))</f>
        <v>52.088128125676924</v>
      </c>
      <c r="AQ17" s="238">
        <f>Models!$B$29*Models!$I$29+(200-Models!$B$29*Models!$I$29)/(1+EXP(Models!$C$29*B17*(Models!$B$4*Models!$F$29+Models!$B$5+Models!$I$29*Models!$G$29)))</f>
        <v>97.106597370879186</v>
      </c>
      <c r="AR17" s="238">
        <f>100*EXP(-EXP(Models!$D$66*(ChartData!B17-Models!$C$66+Models!$E$66*Models!$B$4+Models!$F$66*Models!$B$5)))</f>
        <v>70.104095634319577</v>
      </c>
      <c r="AS17" s="244">
        <f>Models!$B$30*Models!$I$30+(200-Models!$B$30*Models!$I$30)/(1+EXP(Models!$C$30*B17*(Models!$B$4*Models!$F$30+Models!$B$5+Models!$I$30*Models!$G$30)))</f>
        <v>101.2097388556946</v>
      </c>
      <c r="AT17" s="244">
        <f>100*EXP(-EXP(Models!$D$67*(ChartData!B17-Models!$C$67+Models!$E$67*Models!$B$4+Models!$F$67*Models!$B$5)))</f>
        <v>61.499287532471335</v>
      </c>
    </row>
    <row r="18" spans="1:46" ht="13.5" thickBot="1" x14ac:dyDescent="0.25">
      <c r="A18" s="131" t="s">
        <v>296</v>
      </c>
      <c r="B18">
        <v>200</v>
      </c>
      <c r="C18">
        <f>1-'Front Page'!$C$30</f>
        <v>0.99630303030303036</v>
      </c>
      <c r="D18" s="45">
        <f t="shared" si="0"/>
        <v>96.785318650100209</v>
      </c>
      <c r="E18" s="45">
        <f t="shared" si="1"/>
        <v>73.020669990825581</v>
      </c>
      <c r="F18" s="36">
        <f>Equations!$E$4/(1+EXP(Equations!$F$4*ChartData!B18*(Equations!$G$4*Equations!$C$4+Equations!$D$4)))</f>
        <v>98.090062882271212</v>
      </c>
      <c r="G18" s="36">
        <f>Equations!$E$7*EXP(-EXP(-Equations!$F$7*(ChartData!B18-Equations!$G$7+Equations!$H$7*Equations!$C$7+Equations!$I$7*Equations!$D$7)))</f>
        <v>84.650212962253349</v>
      </c>
      <c r="H18" s="55">
        <f>Models!$B$13+Models!$C$13*EXP(Models!$D$13*ChartData!B18+(Models!$E$13*ChartData!B18*Models!$E$3))</f>
        <v>94.155046245494134</v>
      </c>
      <c r="I18" s="55">
        <f>Models!$B$50*EXP(-EXP(Models!$D$50*(ChartData!B18+Models!$C$50-(Models!$E$50*Models!$B$5))))</f>
        <v>73.3400687680776</v>
      </c>
      <c r="J18" s="57">
        <f>Models!$B$12/(1+EXP(Models!$D$12*(ChartData!B18-Models!$C$12+Models!$E$12*ChartData!B18*Models!$B$5)))</f>
        <v>120.88453227078212</v>
      </c>
      <c r="K18" s="61">
        <f>Models!$B$49*EXP(-EXP(Models!$D$49*(ChartData!B18-Models!$C$49+(Models!$E$49*ChartData!B18*Models!$B$5))))</f>
        <v>30.778440979645143</v>
      </c>
      <c r="L18" s="62">
        <f>Models!$B$15/(1+EXP(Models!$D$15*(ChartData!B18*(1+Models!$D$15*Models!$B$5)-Models!$C$15)))</f>
        <v>78.893569947782652</v>
      </c>
      <c r="M18" s="63">
        <f>Models!$B$52*EXP(-EXP(Models!$D$52*(ChartData!B18*(1+Models!$D$52*Models!$B$5)-Models!$C$52)))</f>
        <v>36.130161872434101</v>
      </c>
      <c r="N18" s="53">
        <f>Models!$B$15/(1+EXP(Models!$D$15*(ChartData!B18-Models!$D$15+Models!$E$15*ChartData!B18*Models!$B$5)))</f>
        <v>74.806896436676197</v>
      </c>
      <c r="O18" s="53">
        <f>Models!$B$52*EXP(-EXP(Models!$D$52*(ChartData!B18-Models!$C$52+Models!$E$52*ChartData!B18*Models!$B$5)))</f>
        <v>41.988781808357054</v>
      </c>
      <c r="P18" s="172">
        <f>Models!$B$16*Models!$I$16+(100-Models!$B$16*Models!$I$16)/(1+EXP(Models!$C$16*(ChartData!B18-Models!$E$16+Models!$B$4*Models!$F$16+Models!$B$4*Models!$G$16*Models!$I$16+Models!$B$5*Models!$H$16)))</f>
        <v>98.054210885801965</v>
      </c>
      <c r="Q18" s="172">
        <f>Models!$B$53*EXP(-EXP(Models!$D$53*(ChartData!B18+Models!$C$53+Models!$B$5*Models!$E$53+Models!$B$4*Models!$F$53)))</f>
        <v>69.572092188072588</v>
      </c>
      <c r="R18" s="136">
        <f>Models!$B$17*Models!$I$17+(100-Models!$B$17*Models!$I$17)/(1+EXP(Models!$C$17*(ChartData!B18-Models!$E$17+Models!$B$4*Models!$F$17+Models!$B$4*Models!$G$17*Models!$I$17+Models!$B$5*Models!$H$17)))</f>
        <v>98.47746707145464</v>
      </c>
      <c r="S18" s="136">
        <f>Models!$B$54*EXP(-EXP(Models!$D$54*(ChartData!B18+Models!$C$54+Models!$B$5*Models!$E$54+Models!$B$4*Models!$F$54)))</f>
        <v>54.589285834579925</v>
      </c>
      <c r="T18" s="180">
        <f>Models!$B$18*Models!$I$18+(100-Models!$B$18*Models!$I$18)/(1+EXP(Models!$C$18*(ChartData!B18-Models!$E$18+Models!$B$4*Models!$F$18+Models!$B$4*Models!$G$18*Models!$I$18+Models!$B$5*Models!$H$18)))</f>
        <v>98.216073023715836</v>
      </c>
      <c r="U18" s="180">
        <f>Models!$B$55*EXP(-EXP(Models!$D$55*(ChartData!B18+Models!$C$55+Models!$B$5*Models!$E$55+Models!$B$4*Models!$F$55)))</f>
        <v>73.02136129288904</v>
      </c>
      <c r="V18" s="36">
        <f>Models!$B$19*Models!$I$19+(100-Models!$B$19*Models!$I$19)/(1+EXP(Models!$C$19*(ChartData!$B18-Models!$E$19+Models!$B$5*ChartData!$B18*Models!$F$19+Models!$B$4*Models!$G$19)))</f>
        <v>91.944415138407436</v>
      </c>
      <c r="W18" s="36">
        <f>Models!$B$56*EXP(-EXP(Models!$D$56*(ChartData!B18+Models!$C$56+Models!$B$5*Models!$E$56+Models!$B$4*Models!$F$56)))</f>
        <v>83.097650135515195</v>
      </c>
      <c r="X18" s="158">
        <f>Models!$B$20*Models!$I$20+(100-Models!$B$20*Models!$I$20)/(1+EXP(Models!$C$20*(ChartData!$B18-Models!$E$20+Models!$B$5*ChartData!$B18*Models!$F$20+Models!$B$4*Models!$G$20)))</f>
        <v>91.417877378987328</v>
      </c>
      <c r="Y18" s="158">
        <f>Models!$B$57*EXP(-EXP(Models!$D$57*(ChartData!B18+Models!$C$57+Models!$B$5*Models!$E$57+Models!$B$4*Models!$F$57)))</f>
        <v>87.270330347481533</v>
      </c>
      <c r="Z18" s="165">
        <f>Models!$B$21*Models!$I$21+(100-Models!$B$21*Models!$I$21)/(1+EXP(Models!$C$21*(ChartData!$B18-Models!$E$21+Models!$B$5*ChartData!$B18*Models!$F$21+Models!$B$4*Models!$G$21)))</f>
        <v>92.56144308410029</v>
      </c>
      <c r="AA18" s="165">
        <f>Models!$B$58*EXP(-EXP(Models!$D$58*(ChartData!B18+Models!$C$58+Models!$B$5*Models!$E$58+Models!$B$4*Models!$F$58)))</f>
        <v>87.817923644108845</v>
      </c>
      <c r="AB18" s="146">
        <f>200/(1+EXP(Models!$D$22*((Models!$E$22*Models!$B$4+Models!$B$5)*ChartData!B18)))</f>
        <v>98.604260960652866</v>
      </c>
      <c r="AC18" s="146">
        <f>100*EXP(-EXP(Models!$D$59*(ChartData!B18-Models!$C$59+Models!$E$59*Models!$B$4+Models!$F$59*Models!$B$5)))</f>
        <v>76.062516078599145</v>
      </c>
      <c r="AD18" s="149">
        <f>200/(1+EXP(Models!$D$23*((Models!$E$23*Models!$B$4+Models!$B$5)*ChartData!B18)))</f>
        <v>97.973846026973831</v>
      </c>
      <c r="AE18" s="149">
        <f>100*EXP(-EXP(Models!$D$60*(ChartData!B18-Models!$C$60+Models!$E$60*Models!$B$4+Models!$F$60*Models!$B$5)))</f>
        <v>79.895578166050669</v>
      </c>
      <c r="AF18" s="153">
        <f>200/(1+EXP(Models!$D$24*((Models!$E$24*Models!$B$4+Models!$B$5)*ChartData!B18)))</f>
        <v>97.772276575042369</v>
      </c>
      <c r="AG18" s="153">
        <f>100*EXP(-EXP(Models!$D$61*(ChartData!B18-Models!$C$61+Models!$E$61*Models!$B$4+Models!$F$61*Models!$B$5)))</f>
        <v>80.69387085553889</v>
      </c>
      <c r="AH18" s="266">
        <f>IF('Front Page'!$C$31&gt;0,1-'Front Page'!$C$31,"")</f>
        <v>0.995</v>
      </c>
      <c r="AI18" s="214">
        <f>Models!$B$25*Models!$I$25+(200-Models!$B$25*Models!$I$25)/(1+EXP(Models!$C$25*B18*(Models!$B$4*Models!$F$25+Models!$B$5+Models!$I$25*Models!$G$25)))</f>
        <v>98.099845252956783</v>
      </c>
      <c r="AJ18" s="214">
        <f>100*EXP(-EXP(Models!$D$62*(ChartData!B18-Models!$C$62+Models!$E$62*Models!$B$4+Models!$F$62*Models!$B$5)))</f>
        <v>83.097480544847144</v>
      </c>
      <c r="AK18" s="220">
        <f>Models!$B$26*Models!$I$26+(200-Models!$B$26*Models!$I$26)/(1+EXP(Models!$C$26*B18*(Models!$B$4*Models!$F$26+Models!$B$5+Models!$I$26*Models!$G$26)))</f>
        <v>97.308896816655746</v>
      </c>
      <c r="AL18" s="220">
        <f>100*EXP(-EXP(Models!$D$63*(ChartData!B18-Models!$C$63+Models!$E$63*Models!$B$4+Models!$F$63*Models!$B$5)))</f>
        <v>87.270015500378378</v>
      </c>
      <c r="AM18" s="226">
        <f>Models!$B$27*Models!$I$27+(200-Models!$B$27*Models!$I$27)/(1+EXP(Models!$C$27*B18*(Models!$B$4*Models!$F$27+Models!$B$5+Models!$I$27*Models!$G$27)))</f>
        <v>99.995978247268553</v>
      </c>
      <c r="AN18" s="226">
        <f>100*EXP(-EXP(Models!$D$64*(ChartData!B18-Models!$C$64+Models!$E$64*Models!$B$4+Models!$F$64*Models!$B$5)))</f>
        <v>87.817733233655076</v>
      </c>
      <c r="AO18" s="232">
        <f>Models!$B$28*Models!$I$28+(200-Models!$B$28*Models!$I$28)/(1+EXP(Models!$C$28*B18*(Models!$B$4*Models!$F$28+Models!$B$5+Models!$I$28*Models!$G$28)))</f>
        <v>97.80966659956907</v>
      </c>
      <c r="AP18" s="232">
        <f>100*EXP(-EXP(Models!$D$65*(ChartData!B18-Models!$C$65+Models!$E$65*Models!$B$4+Models!$F$65*Models!$B$5)))</f>
        <v>54.595495392403947</v>
      </c>
      <c r="AQ18" s="238">
        <f>Models!$B$29*Models!$I$29+(200-Models!$B$29*Models!$I$29)/(1+EXP(Models!$C$29*B18*(Models!$B$4*Models!$F$29+Models!$B$5+Models!$I$29*Models!$G$29)))</f>
        <v>96.785318650100209</v>
      </c>
      <c r="AR18" s="238">
        <f>100*EXP(-EXP(Models!$D$66*(ChartData!B18-Models!$C$66+Models!$E$66*Models!$B$4+Models!$F$66*Models!$B$5)))</f>
        <v>73.020669990825581</v>
      </c>
      <c r="AS18" s="244">
        <f>Models!$B$30*Models!$I$30+(200-Models!$B$30*Models!$I$30)/(1+EXP(Models!$C$30*B18*(Models!$B$4*Models!$F$30+Models!$B$5+Models!$I$30*Models!$G$30)))</f>
        <v>100.80967911779018</v>
      </c>
      <c r="AT18" s="244">
        <f>100*EXP(-EXP(Models!$D$67*(ChartData!B18-Models!$C$67+Models!$E$67*Models!$B$4+Models!$F$67*Models!$B$5)))</f>
        <v>64.379453713603212</v>
      </c>
    </row>
    <row r="19" spans="1:46" x14ac:dyDescent="0.2">
      <c r="A19" s="38" t="s">
        <v>225</v>
      </c>
      <c r="B19">
        <v>220</v>
      </c>
      <c r="C19">
        <f>1-'Front Page'!$C$30</f>
        <v>0.99630303030303036</v>
      </c>
      <c r="D19" s="45">
        <f t="shared" si="0"/>
        <v>96.464106348132347</v>
      </c>
      <c r="E19" s="45">
        <f t="shared" si="1"/>
        <v>75.703631544978705</v>
      </c>
      <c r="F19" s="36">
        <f>Equations!$E$4/(1+EXP(Equations!$F$4*ChartData!B19*(Equations!$G$4*Equations!$C$4+Equations!$D$4)))</f>
        <v>97.899122820076528</v>
      </c>
      <c r="G19" s="36">
        <f>Equations!$E$7*EXP(-EXP(-Equations!$F$7*(ChartData!B19-Equations!$G$7+Equations!$H$7*Equations!$C$7+Equations!$I$7*Equations!$D$7)))</f>
        <v>85.57079147656718</v>
      </c>
      <c r="H19" s="55">
        <f>Models!$B$13+Models!$C$13*EXP(Models!$D$13*ChartData!B19+(Models!$E$13*ChartData!B19*Models!$E$3))</f>
        <v>93.594238535196553</v>
      </c>
      <c r="I19" s="55">
        <f>Models!$B$50*EXP(-EXP(Models!$D$50*(ChartData!B19+Models!$C$50-(Models!$E$50*Models!$B$5))))</f>
        <v>74.356359283190415</v>
      </c>
      <c r="J19" s="57">
        <f>Models!$B$12/(1+EXP(Models!$D$12*(ChartData!B19-Models!$C$12+Models!$E$12*ChartData!B19*Models!$B$5)))</f>
        <v>120.76029647699053</v>
      </c>
      <c r="K19" s="61">
        <f>Models!$B$49*EXP(-EXP(Models!$D$49*(ChartData!B19-Models!$C$49+(Models!$E$49*ChartData!B19*Models!$B$5))))</f>
        <v>35.909826218627281</v>
      </c>
      <c r="L19" s="62">
        <f>Models!$B$15/(1+EXP(Models!$D$15*(ChartData!B19*(1+Models!$D$15*Models!$B$5)-Models!$C$15)))</f>
        <v>76.707844569850167</v>
      </c>
      <c r="M19" s="63">
        <f>Models!$B$52*EXP(-EXP(Models!$D$52*(ChartData!B19*(1+Models!$D$52*Models!$B$5)-Models!$C$52)))</f>
        <v>41.752954447425914</v>
      </c>
      <c r="N19" s="53">
        <f>Models!$B$15/(1+EXP(Models!$D$15*(ChartData!B19-Models!$D$15+Models!$E$15*ChartData!B19*Models!$B$5)))</f>
        <v>72.411618901274267</v>
      </c>
      <c r="O19" s="53">
        <f>Models!$B$52*EXP(-EXP(Models!$D$52*(ChartData!B19-Models!$C$52+Models!$E$52*ChartData!B19*Models!$B$5)))</f>
        <v>48.061893779149074</v>
      </c>
      <c r="P19" s="172">
        <f>Models!$B$16*Models!$I$16+(100-Models!$B$16*Models!$I$16)/(1+EXP(Models!$C$16*(ChartData!B19-Models!$E$16+Models!$B$4*Models!$F$16+Models!$B$4*Models!$G$16*Models!$I$16+Models!$B$5*Models!$H$16)))</f>
        <v>97.964837388391601</v>
      </c>
      <c r="Q19" s="172">
        <f>Models!$B$53*EXP(-EXP(Models!$D$53*(ChartData!B19+Models!$C$53+Models!$B$5*Models!$E$53+Models!$B$4*Models!$F$53)))</f>
        <v>72.302460081887318</v>
      </c>
      <c r="R19" s="136">
        <f>Models!$B$17*Models!$I$17+(100-Models!$B$17*Models!$I$17)/(1+EXP(Models!$C$17*(ChartData!B19-Models!$E$17+Models!$B$4*Models!$F$17+Models!$B$4*Models!$G$17*Models!$I$17+Models!$B$5*Models!$H$17)))</f>
        <v>98.422025282887319</v>
      </c>
      <c r="S19" s="136">
        <f>Models!$B$54*EXP(-EXP(Models!$D$54*(ChartData!B19+Models!$C$54+Models!$B$5*Models!$E$54+Models!$B$4*Models!$F$54)))</f>
        <v>57.023944795326052</v>
      </c>
      <c r="T19" s="180">
        <f>Models!$B$18*Models!$I$18+(100-Models!$B$18*Models!$I$18)/(1+EXP(Models!$C$18*(ChartData!B19-Models!$E$18+Models!$B$4*Models!$F$18+Models!$B$4*Models!$G$18*Models!$I$18+Models!$B$5*Models!$H$18)))</f>
        <v>98.118818097771893</v>
      </c>
      <c r="U19" s="180">
        <f>Models!$B$55*EXP(-EXP(Models!$D$55*(ChartData!B19+Models!$C$55+Models!$B$5*Models!$E$55+Models!$B$4*Models!$F$55)))</f>
        <v>75.704308140784775</v>
      </c>
      <c r="V19" s="36">
        <f>Models!$B$19*Models!$I$19+(100-Models!$B$19*Models!$I$19)/(1+EXP(Models!$C$19*(ChartData!$B19-Models!$E$19+Models!$B$5*ChartData!$B19*Models!$F$19+Models!$B$4*Models!$G$19)))</f>
        <v>91.851629608998692</v>
      </c>
      <c r="W19" s="36">
        <f>Models!$B$56*EXP(-EXP(Models!$D$56*(ChartData!B19+Models!$C$56+Models!$B$5*Models!$E$56+Models!$B$4*Models!$F$56)))</f>
        <v>83.929143299799691</v>
      </c>
      <c r="X19" s="158">
        <f>Models!$B$20*Models!$I$20+(100-Models!$B$20*Models!$I$20)/(1+EXP(Models!$C$20*(ChartData!$B19-Models!$E$20+Models!$B$5*ChartData!$B19*Models!$F$20+Models!$B$4*Models!$G$20)))</f>
        <v>91.272614188478556</v>
      </c>
      <c r="Y19" s="158">
        <f>Models!$B$57*EXP(-EXP(Models!$D$57*(ChartData!B19+Models!$C$57+Models!$B$5*Models!$E$57+Models!$B$4*Models!$F$57)))</f>
        <v>88.228776733406278</v>
      </c>
      <c r="Z19" s="165">
        <f>Models!$B$21*Models!$I$21+(100-Models!$B$21*Models!$I$21)/(1+EXP(Models!$C$21*(ChartData!$B19-Models!$E$21+Models!$B$5*ChartData!$B19*Models!$F$21+Models!$B$4*Models!$G$21)))</f>
        <v>92.422990515985305</v>
      </c>
      <c r="AA19" s="165">
        <f>Models!$B$58*EXP(-EXP(Models!$D$58*(ChartData!B19+Models!$C$58+Models!$B$5*Models!$E$58+Models!$B$4*Models!$F$58)))</f>
        <v>88.786921280251619</v>
      </c>
      <c r="AB19" s="146">
        <f>200/(1+EXP(Models!$D$22*((Models!$E$22*Models!$B$4+Models!$B$5)*ChartData!B19)))</f>
        <v>98.464707993658621</v>
      </c>
      <c r="AC19" s="146">
        <f>100*EXP(-EXP(Models!$D$59*(ChartData!B19-Models!$C$59+Models!$E$59*Models!$B$4+Models!$F$59*Models!$B$5)))</f>
        <v>76.856624271572201</v>
      </c>
      <c r="AD19" s="149">
        <f>200/(1+EXP(Models!$D$23*((Models!$E$23*Models!$B$4+Models!$B$5)*ChartData!B19)))</f>
        <v>97.771294681088946</v>
      </c>
      <c r="AE19" s="149">
        <f>100*EXP(-EXP(Models!$D$60*(ChartData!B19-Models!$C$60+Models!$E$60*Models!$B$4+Models!$F$60*Models!$B$5)))</f>
        <v>80.902004218076542</v>
      </c>
      <c r="AF19" s="153">
        <f>200/(1+EXP(Models!$D$24*((Models!$E$24*Models!$B$4+Models!$B$5)*ChartData!B19)))</f>
        <v>97.549589365861962</v>
      </c>
      <c r="AG19" s="153">
        <f>100*EXP(-EXP(Models!$D$61*(ChartData!B19-Models!$C$61+Models!$E$61*Models!$B$4+Models!$F$61*Models!$B$5)))</f>
        <v>81.736159721964469</v>
      </c>
      <c r="AH19" s="266">
        <f>IF('Front Page'!$C$31&gt;0,1-'Front Page'!$C$31,"")</f>
        <v>0.995</v>
      </c>
      <c r="AI19" s="214">
        <f>Models!$B$25*Models!$I$25+(200-Models!$B$25*Models!$I$25)/(1+EXP(Models!$C$25*B19*(Models!$B$4*Models!$F$25+Models!$B$5+Models!$I$25*Models!$G$25)))</f>
        <v>97.909882607670966</v>
      </c>
      <c r="AJ19" s="214">
        <f>100*EXP(-EXP(Models!$D$62*(ChartData!B19-Models!$C$62+Models!$E$62*Models!$B$4+Models!$F$62*Models!$B$5)))</f>
        <v>83.928981223008876</v>
      </c>
      <c r="AK19" s="220">
        <f>Models!$B$26*Models!$I$26+(200-Models!$B$26*Models!$I$26)/(1+EXP(Models!$C$26*B19*(Models!$B$4*Models!$F$26+Models!$B$5+Models!$I$26*Models!$G$26)))</f>
        <v>97.039936576748659</v>
      </c>
      <c r="AL19" s="220">
        <f>100*EXP(-EXP(Models!$D$63*(ChartData!B19-Models!$C$63+Models!$E$63*Models!$B$4+Models!$F$63*Models!$B$5)))</f>
        <v>88.228461863099838</v>
      </c>
      <c r="AM19" s="226">
        <f>Models!$B$27*Models!$I$27+(200-Models!$B$27*Models!$I$27)/(1+EXP(Models!$C$27*B19*(Models!$B$4*Models!$F$27+Models!$B$5+Models!$I$27*Models!$G$27)))</f>
        <v>99.221146824584835</v>
      </c>
      <c r="AN19" s="226">
        <f>100*EXP(-EXP(Models!$D$64*(ChartData!B19-Models!$C$64+Models!$E$64*Models!$B$4+Models!$F$64*Models!$B$5)))</f>
        <v>88.786745031236919</v>
      </c>
      <c r="AO19" s="232">
        <f>Models!$B$28*Models!$I$28+(200-Models!$B$28*Models!$I$28)/(1+EXP(Models!$C$28*B19*(Models!$B$4*Models!$F$28+Models!$B$5+Models!$I$28*Models!$G$28)))</f>
        <v>97.590714177607325</v>
      </c>
      <c r="AP19" s="232">
        <f>100*EXP(-EXP(Models!$D$65*(ChartData!B19-Models!$C$65+Models!$E$65*Models!$B$4+Models!$F$65*Models!$B$5)))</f>
        <v>57.029963711589417</v>
      </c>
      <c r="AQ19" s="238">
        <f>Models!$B$29*Models!$I$29+(200-Models!$B$29*Models!$I$29)/(1+EXP(Models!$C$29*B19*(Models!$B$4*Models!$F$29+Models!$B$5+Models!$I$29*Models!$G$29)))</f>
        <v>96.464106348132347</v>
      </c>
      <c r="AR19" s="238">
        <f>100*EXP(-EXP(Models!$D$66*(ChartData!B19-Models!$C$66+Models!$E$66*Models!$B$4+Models!$F$66*Models!$B$5)))</f>
        <v>75.703631544978705</v>
      </c>
      <c r="AS19" s="244">
        <f>Models!$B$30*Models!$I$30+(200-Models!$B$30*Models!$I$30)/(1+EXP(Models!$C$30*B19*(Models!$B$4*Models!$F$30+Models!$B$5+Models!$I$30*Models!$G$30)))</f>
        <v>100.40976106214146</v>
      </c>
      <c r="AT19" s="244">
        <f>100*EXP(-EXP(Models!$D$67*(ChartData!B19-Models!$C$67+Models!$E$67*Models!$B$4+Models!$F$67*Models!$B$5)))</f>
        <v>67.104727198091467</v>
      </c>
    </row>
    <row r="20" spans="1:46" x14ac:dyDescent="0.2">
      <c r="A20" s="38" t="s">
        <v>232</v>
      </c>
      <c r="B20">
        <v>240</v>
      </c>
      <c r="C20">
        <f>1-'Front Page'!$C$30</f>
        <v>0.99630303030303036</v>
      </c>
      <c r="D20" s="45">
        <f t="shared" si="0"/>
        <v>96.14296708571365</v>
      </c>
      <c r="E20" s="45">
        <f t="shared" si="1"/>
        <v>78.160841686012773</v>
      </c>
      <c r="F20" s="36">
        <f>Equations!$E$4/(1+EXP(Equations!$F$4*ChartData!B20*(Equations!$G$4*Equations!$C$4+Equations!$D$4)))</f>
        <v>97.708198082217223</v>
      </c>
      <c r="G20" s="36">
        <f>Equations!$E$7*EXP(-EXP(-Equations!$F$7*(ChartData!B20-Equations!$G$7+Equations!$H$7*Equations!$C$7+Equations!$I$7*Equations!$D$7)))</f>
        <v>86.440673003605554</v>
      </c>
      <c r="H20" s="55">
        <f>Models!$B$13+Models!$C$13*EXP(Models!$D$13*ChartData!B20+(Models!$E$13*ChartData!B20*Models!$E$3))</f>
        <v>93.037610016908303</v>
      </c>
      <c r="I20" s="55">
        <f>Models!$B$50*EXP(-EXP(Models!$D$50*(ChartData!B20+Models!$C$50-(Models!$E$50*Models!$B$5))))</f>
        <v>75.340698459174689</v>
      </c>
      <c r="J20" s="57">
        <f>Models!$B$12/(1+EXP(Models!$D$12*(ChartData!B20-Models!$C$12+Models!$E$12*ChartData!B20*Models!$B$5)))</f>
        <v>120.50294065005767</v>
      </c>
      <c r="K20" s="61">
        <f>Models!$B$49*EXP(-EXP(Models!$D$49*(ChartData!B20-Models!$C$49+(Models!$E$49*ChartData!B20*Models!$B$5))))</f>
        <v>41.059807299539379</v>
      </c>
      <c r="L20" s="62">
        <f>Models!$B$15/(1+EXP(Models!$D$15*(ChartData!B20*(1+Models!$D$15*Models!$B$5)-Models!$C$15)))</f>
        <v>74.545400370110272</v>
      </c>
      <c r="M20" s="63">
        <f>Models!$B$52*EXP(-EXP(Models!$D$52*(ChartData!B20*(1+Models!$D$52*Models!$B$5)-Models!$C$52)))</f>
        <v>47.269336902120266</v>
      </c>
      <c r="N20" s="53">
        <f>Models!$B$15/(1+EXP(Models!$D$15*(ChartData!B20-Models!$D$15+Models!$E$15*ChartData!B20*Models!$B$5)))</f>
        <v>70.050122939552622</v>
      </c>
      <c r="O20" s="53">
        <f>Models!$B$52*EXP(-EXP(Models!$D$52*(ChartData!B20-Models!$C$52+Models!$E$52*ChartData!B20*Models!$B$5)))</f>
        <v>53.868586406318322</v>
      </c>
      <c r="P20" s="172">
        <f>Models!$B$16*Models!$I$16+(100-Models!$B$16*Models!$I$16)/(1+EXP(Models!$C$16*(ChartData!B20-Models!$E$16+Models!$B$4*Models!$F$16+Models!$B$4*Models!$G$16*Models!$I$16+Models!$B$5*Models!$H$16)))</f>
        <v>97.871447922655335</v>
      </c>
      <c r="Q20" s="172">
        <f>Models!$B$53*EXP(-EXP(Models!$D$53*(ChartData!B20+Models!$C$53+Models!$B$5*Models!$E$53+Models!$B$4*Models!$F$53)))</f>
        <v>74.833707947988174</v>
      </c>
      <c r="R20" s="136">
        <f>Models!$B$17*Models!$I$17+(100-Models!$B$17*Models!$I$17)/(1+EXP(Models!$C$17*(ChartData!B20-Models!$E$17+Models!$B$4*Models!$F$17+Models!$B$4*Models!$G$17*Models!$I$17+Models!$B$5*Models!$H$17)))</f>
        <v>98.364598154088412</v>
      </c>
      <c r="S20" s="136">
        <f>Models!$B$54*EXP(-EXP(Models!$D$54*(ChartData!B20+Models!$C$54+Models!$B$5*Models!$E$54+Models!$B$4*Models!$F$54)))</f>
        <v>59.380131937033475</v>
      </c>
      <c r="T20" s="180">
        <f>Models!$B$18*Models!$I$18+(100-Models!$B$18*Models!$I$18)/(1+EXP(Models!$C$18*(ChartData!B20-Models!$E$18+Models!$B$4*Models!$F$18+Models!$B$4*Models!$G$18*Models!$I$18+Models!$B$5*Models!$H$18)))</f>
        <v>98.016377915355889</v>
      </c>
      <c r="U20" s="180">
        <f>Models!$B$55*EXP(-EXP(Models!$D$55*(ChartData!B20+Models!$C$55+Models!$B$5*Models!$E$55+Models!$B$4*Models!$F$55)))</f>
        <v>78.161498593468409</v>
      </c>
      <c r="V20" s="36">
        <f>Models!$B$19*Models!$I$19+(100-Models!$B$19*Models!$I$19)/(1+EXP(Models!$C$19*(ChartData!$B20-Models!$E$19+Models!$B$5*ChartData!$B20*Models!$F$19+Models!$B$4*Models!$G$19)))</f>
        <v>91.757871163492226</v>
      </c>
      <c r="W20" s="36">
        <f>Models!$B$56*EXP(-EXP(Models!$D$56*(ChartData!B20+Models!$C$56+Models!$B$5*Models!$E$56+Models!$B$4*Models!$F$56)))</f>
        <v>84.723583273925613</v>
      </c>
      <c r="X20" s="158">
        <f>Models!$B$20*Models!$I$20+(100-Models!$B$20*Models!$I$20)/(1+EXP(Models!$C$20*(ChartData!$B20-Models!$E$20+Models!$B$5*ChartData!$B20*Models!$F$20+Models!$B$4*Models!$G$20)))</f>
        <v>91.125130933422952</v>
      </c>
      <c r="Y20" s="158">
        <f>Models!$B$57*EXP(-EXP(Models!$D$57*(ChartData!B20+Models!$C$57+Models!$B$5*Models!$E$57+Models!$B$4*Models!$F$57)))</f>
        <v>89.119627912992954</v>
      </c>
      <c r="Z20" s="165">
        <f>Models!$B$21*Models!$I$21+(100-Models!$B$21*Models!$I$21)/(1+EXP(Models!$C$21*(ChartData!$B20-Models!$E$21+Models!$B$5*ChartData!$B20*Models!$F$21+Models!$B$4*Models!$G$21)))</f>
        <v>92.282210876761638</v>
      </c>
      <c r="AA20" s="165">
        <f>Models!$B$58*EXP(-EXP(Models!$D$58*(ChartData!B20+Models!$C$58+Models!$B$5*Models!$E$58+Models!$B$4*Models!$F$58)))</f>
        <v>89.683434994187991</v>
      </c>
      <c r="AB20" s="146">
        <f>200/(1+EXP(Models!$D$22*((Models!$E$22*Models!$B$4+Models!$B$5)*ChartData!B20)))</f>
        <v>98.32516100778966</v>
      </c>
      <c r="AC20" s="146">
        <f>100*EXP(-EXP(Models!$D$59*(ChartData!B20-Models!$C$59+Models!$E$59*Models!$B$4+Models!$F$59*Models!$B$5)))</f>
        <v>77.628412610745229</v>
      </c>
      <c r="AD20" s="149">
        <f>200/(1+EXP(Models!$D$23*((Models!$E$23*Models!$B$4+Models!$B$5)*ChartData!B20)))</f>
        <v>97.568761630079493</v>
      </c>
      <c r="AE20" s="149">
        <f>100*EXP(-EXP(Models!$D$60*(ChartData!B20-Models!$C$60+Models!$E$60*Models!$B$4+Models!$F$60*Models!$B$5)))</f>
        <v>81.863933629352147</v>
      </c>
      <c r="AF20" s="153">
        <f>200/(1+EXP(Models!$D$24*((Models!$E$24*Models!$B$4+Models!$B$5)*ChartData!B20)))</f>
        <v>97.326926471601126</v>
      </c>
      <c r="AG20" s="153">
        <f>100*EXP(-EXP(Models!$D$61*(ChartData!B20-Models!$C$61+Models!$E$61*Models!$B$4+Models!$F$61*Models!$B$5)))</f>
        <v>82.728364545399785</v>
      </c>
      <c r="AH20" s="266">
        <f>IF('Front Page'!$C$31&gt;0,1-'Front Page'!$C$31,"")</f>
        <v>0.995</v>
      </c>
      <c r="AI20" s="214">
        <f>Models!$B$25*Models!$I$25+(200-Models!$B$25*Models!$I$25)/(1+EXP(Models!$C$25*B20*(Models!$B$4*Models!$F$25+Models!$B$5+Models!$I$25*Models!$G$25)))</f>
        <v>97.719935052493511</v>
      </c>
      <c r="AJ20" s="214">
        <f>100*EXP(-EXP(Models!$D$62*(ChartData!B20-Models!$C$62+Models!$E$62*Models!$B$4+Models!$F$62*Models!$B$5)))</f>
        <v>84.723428461012247</v>
      </c>
      <c r="AK20" s="220">
        <f>Models!$B$26*Models!$I$26+(200-Models!$B$26*Models!$I$26)/(1+EXP(Models!$C$26*B20*(Models!$B$4*Models!$F$26+Models!$B$5+Models!$I$26*Models!$G$26)))</f>
        <v>96.771019193535636</v>
      </c>
      <c r="AL20" s="220">
        <f>100*EXP(-EXP(Models!$D$63*(ChartData!B20-Models!$C$63+Models!$E$63*Models!$B$4+Models!$F$63*Models!$B$5)))</f>
        <v>89.119314845072424</v>
      </c>
      <c r="AM20" s="226">
        <f>Models!$B$27*Models!$I$27+(200-Models!$B$27*Models!$I$27)/(1+EXP(Models!$C$27*B20*(Models!$B$4*Models!$F$27+Models!$B$5+Models!$I$27*Models!$G$27)))</f>
        <v>98.447533607669655</v>
      </c>
      <c r="AN20" s="226">
        <f>100*EXP(-EXP(Models!$D$64*(ChartData!B20-Models!$C$64+Models!$E$64*Models!$B$4+Models!$F$64*Models!$B$5)))</f>
        <v>89.683272004544861</v>
      </c>
      <c r="AO20" s="232">
        <f>Models!$B$28*Models!$I$28+(200-Models!$B$28*Models!$I$28)/(1+EXP(Models!$C$28*B20*(Models!$B$4*Models!$F$28+Models!$B$5+Models!$I$28*Models!$G$28)))</f>
        <v>97.371784866933595</v>
      </c>
      <c r="AP20" s="232">
        <f>100*EXP(-EXP(Models!$D$65*(ChartData!B20-Models!$C$65+Models!$E$65*Models!$B$4+Models!$F$65*Models!$B$5)))</f>
        <v>59.385947745711476</v>
      </c>
      <c r="AQ20" s="238">
        <f>Models!$B$29*Models!$I$29+(200-Models!$B$29*Models!$I$29)/(1+EXP(Models!$C$29*B20*(Models!$B$4*Models!$F$29+Models!$B$5+Models!$I$29*Models!$G$29)))</f>
        <v>96.14296708571365</v>
      </c>
      <c r="AR20" s="238">
        <f>100*EXP(-EXP(Models!$D$66*(ChartData!B20-Models!$C$66+Models!$E$66*Models!$B$4+Models!$F$66*Models!$B$5)))</f>
        <v>78.160841686012773</v>
      </c>
      <c r="AS20" s="244">
        <f>Models!$B$30*Models!$I$30+(200-Models!$B$30*Models!$I$30)/(1+EXP(Models!$C$30*B20*(Models!$B$4*Models!$F$30+Models!$B$5+Models!$I$30*Models!$G$30)))</f>
        <v>100.00999877971705</v>
      </c>
      <c r="AT20" s="244">
        <f>100*EXP(-EXP(Models!$D$67*(ChartData!B20-Models!$C$67+Models!$E$67*Models!$B$4+Models!$F$67*Models!$B$5)))</f>
        <v>69.67287829915746</v>
      </c>
    </row>
    <row r="21" spans="1:46" x14ac:dyDescent="0.2">
      <c r="A21" s="38" t="s">
        <v>233</v>
      </c>
      <c r="B21">
        <v>260</v>
      </c>
      <c r="C21">
        <f>1-'Front Page'!$C$30</f>
        <v>0.99630303030303036</v>
      </c>
      <c r="D21" s="45">
        <f t="shared" si="0"/>
        <v>95.821907477550937</v>
      </c>
      <c r="E21" s="45">
        <f t="shared" si="1"/>
        <v>80.402534277809281</v>
      </c>
      <c r="F21" s="36">
        <f>Equations!$E$4/(1+EXP(Equations!$F$4*ChartData!B21*(Equations!$G$4*Equations!$C$4+Equations!$D$4)))</f>
        <v>97.517290059944557</v>
      </c>
      <c r="G21" s="36">
        <f>Equations!$E$7*EXP(-EXP(-Equations!$F$7*(ChartData!B21-Equations!$G$7+Equations!$H$7*Equations!$C$7+Equations!$I$7*Equations!$D$7)))</f>
        <v>87.26209136618462</v>
      </c>
      <c r="H21" s="55">
        <f>Models!$B$13+Models!$C$13*EXP(Models!$D$13*ChartData!B21+(Models!$E$13*ChartData!B21*Models!$E$3))</f>
        <v>92.485129546895877</v>
      </c>
      <c r="I21" s="55">
        <f>Models!$B$50*EXP(-EXP(Models!$D$50*(ChartData!B21+Models!$C$50-(Models!$E$50*Models!$B$5))))</f>
        <v>76.293521611161751</v>
      </c>
      <c r="J21" s="57">
        <f>Models!$B$12/(1+EXP(Models!$D$12*(ChartData!B21-Models!$C$12+Models!$E$12*ChartData!B21*Models!$B$5)))</f>
        <v>119.97162972091802</v>
      </c>
      <c r="K21" s="61">
        <f>Models!$B$49*EXP(-EXP(Models!$D$49*(ChartData!B21-Models!$C$49+(Models!$E$49*ChartData!B21*Models!$B$5))))</f>
        <v>46.132197387065418</v>
      </c>
      <c r="L21" s="62">
        <f>Models!$B$15/(1+EXP(Models!$D$15*(ChartData!B21*(1+Models!$D$15*Models!$B$5)-Models!$C$15)))</f>
        <v>72.40811533290298</v>
      </c>
      <c r="M21" s="63">
        <f>Models!$B$52*EXP(-EXP(Models!$D$52*(ChartData!B21*(1+Models!$D$52*Models!$B$5)-Models!$C$52)))</f>
        <v>52.579306829973596</v>
      </c>
      <c r="N21" s="53">
        <f>Models!$B$15/(1+EXP(Models!$D$15*(ChartData!B21-Models!$D$15+Models!$E$15*ChartData!B21*Models!$B$5)))</f>
        <v>67.724761141353639</v>
      </c>
      <c r="O21" s="53">
        <f>Models!$B$52*EXP(-EXP(Models!$D$52*(ChartData!B21-Models!$C$52+Models!$E$52*ChartData!B21*Models!$B$5)))</f>
        <v>59.314259410354097</v>
      </c>
      <c r="P21" s="172">
        <f>Models!$B$16*Models!$I$16+(100-Models!$B$16*Models!$I$16)/(1+EXP(Models!$C$16*(ChartData!B21-Models!$E$16+Models!$B$4*Models!$F$16+Models!$B$4*Models!$G$16*Models!$I$16+Models!$B$5*Models!$H$16)))</f>
        <v>97.773870386208102</v>
      </c>
      <c r="Q21" s="172">
        <f>Models!$B$53*EXP(-EXP(Models!$D$53*(ChartData!B21+Models!$C$53+Models!$B$5*Models!$E$53+Models!$B$4*Models!$F$53)))</f>
        <v>77.171304436048359</v>
      </c>
      <c r="R21" s="136">
        <f>Models!$B$17*Models!$I$17+(100-Models!$B$17*Models!$I$17)/(1+EXP(Models!$C$17*(ChartData!B21-Models!$E$17+Models!$B$4*Models!$F$17+Models!$B$4*Models!$G$17*Models!$I$17+Models!$B$5*Models!$H$17)))</f>
        <v>98.305117073592669</v>
      </c>
      <c r="S21" s="136">
        <f>Models!$B$54*EXP(-EXP(Models!$D$54*(ChartData!B21+Models!$C$54+Models!$B$5*Models!$E$54+Models!$B$4*Models!$F$54)))</f>
        <v>61.653477096024154</v>
      </c>
      <c r="T21" s="180">
        <f>Models!$B$18*Models!$I$18+(100-Models!$B$18*Models!$I$18)/(1+EXP(Models!$C$18*(ChartData!B21-Models!$E$18+Models!$B$4*Models!$F$18+Models!$B$4*Models!$G$18*Models!$I$18+Models!$B$5*Models!$H$18)))</f>
        <v>97.908489065259076</v>
      </c>
      <c r="U21" s="180">
        <f>Models!$B$55*EXP(-EXP(Models!$D$55*(ChartData!B21+Models!$C$55+Models!$B$5*Models!$E$55+Models!$B$4*Models!$F$55)))</f>
        <v>80.403167551437448</v>
      </c>
      <c r="V21" s="36">
        <f>Models!$B$19*Models!$I$19+(100-Models!$B$19*Models!$I$19)/(1+EXP(Models!$C$19*(ChartData!$B21-Models!$E$19+Models!$B$5*ChartData!$B21*Models!$F$19+Models!$B$4*Models!$G$19)))</f>
        <v>91.663131814193846</v>
      </c>
      <c r="W21" s="36">
        <f>Models!$B$56*EXP(-EXP(Models!$D$56*(ChartData!B21+Models!$C$56+Models!$B$5*Models!$E$56+Models!$B$4*Models!$F$56)))</f>
        <v>85.482225904491543</v>
      </c>
      <c r="X21" s="158">
        <f>Models!$B$20*Models!$I$20+(100-Models!$B$20*Models!$I$20)/(1+EXP(Models!$C$20*(ChartData!$B21-Models!$E$20+Models!$B$5*ChartData!$B21*Models!$F$20+Models!$B$4*Models!$G$20)))</f>
        <v>90.975401800195456</v>
      </c>
      <c r="Y21" s="158">
        <f>Models!$B$57*EXP(-EXP(Models!$D$57*(ChartData!B21+Models!$C$57+Models!$B$5*Models!$E$57+Models!$B$4*Models!$F$57)))</f>
        <v>89.94695506483545</v>
      </c>
      <c r="Z21" s="165">
        <f>Models!$B$21*Models!$I$21+(100-Models!$B$21*Models!$I$21)/(1+EXP(Models!$C$21*(ChartData!$B21-Models!$E$21+Models!$B$5*ChartData!$B21*Models!$F$21+Models!$B$4*Models!$G$21)))</f>
        <v>92.139074401868726</v>
      </c>
      <c r="AA21" s="165">
        <f>Models!$B$58*EXP(-EXP(Models!$D$58*(ChartData!B21+Models!$C$58+Models!$B$5*Models!$E$58+Models!$B$4*Models!$F$58)))</f>
        <v>90.512150802574126</v>
      </c>
      <c r="AB21" s="146">
        <f>200/(1+EXP(Models!$D$22*((Models!$E$22*Models!$B$4+Models!$B$5)*ChartData!B21)))</f>
        <v>98.185620546394873</v>
      </c>
      <c r="AC21" s="146">
        <f>100*EXP(-EXP(Models!$D$59*(ChartData!B21-Models!$C$59+Models!$E$59*Models!$B$4+Models!$F$59*Models!$B$5)))</f>
        <v>78.378218403386896</v>
      </c>
      <c r="AD21" s="149">
        <f>200/(1+EXP(Models!$D$23*((Models!$E$23*Models!$B$4+Models!$B$5)*ChartData!B21)))</f>
        <v>97.366248534603301</v>
      </c>
      <c r="AE21" s="149">
        <f>100*EXP(-EXP(Models!$D$60*(ChartData!B21-Models!$C$60+Models!$E$60*Models!$B$4+Models!$F$60*Models!$B$5)))</f>
        <v>82.782709999564545</v>
      </c>
      <c r="AF21" s="153">
        <f>200/(1+EXP(Models!$D$24*((Models!$E$24*Models!$B$4+Models!$B$5)*ChartData!B21)))</f>
        <v>97.104290098670177</v>
      </c>
      <c r="AG21" s="153">
        <f>100*EXP(-EXP(Models!$D$61*(ChartData!B21-Models!$C$61+Models!$E$61*Models!$B$4+Models!$F$61*Models!$B$5)))</f>
        <v>83.672188758659061</v>
      </c>
      <c r="AH21" s="266">
        <f>IF('Front Page'!$C$31&gt;0,1-'Front Page'!$C$31,"")</f>
        <v>0.995</v>
      </c>
      <c r="AI21" s="214">
        <f>Models!$B$25*Models!$I$25+(200-Models!$B$25*Models!$I$25)/(1+EXP(Models!$C$25*B21*(Models!$B$4*Models!$F$25+Models!$B$5+Models!$I$25*Models!$G$25)))</f>
        <v>97.530003957429685</v>
      </c>
      <c r="AJ21" s="214">
        <f>100*EXP(-EXP(Models!$D$62*(ChartData!B21-Models!$C$62+Models!$E$62*Models!$B$4+Models!$F$62*Models!$B$5)))</f>
        <v>85.482078104803051</v>
      </c>
      <c r="AK21" s="220">
        <f>Models!$B$26*Models!$I$26+(200-Models!$B$26*Models!$I$26)/(1+EXP(Models!$C$26*B21*(Models!$B$4*Models!$F$26+Models!$B$5+Models!$I$26*Models!$G$26)))</f>
        <v>96.502148552696326</v>
      </c>
      <c r="AL21" s="220">
        <f>100*EXP(-EXP(Models!$D$63*(ChartData!B21-Models!$C$63+Models!$E$63*Models!$B$4+Models!$F$63*Models!$B$5)))</f>
        <v>89.946645377479769</v>
      </c>
      <c r="AM21" s="226">
        <f>Models!$B$27*Models!$I$27+(200-Models!$B$27*Models!$I$27)/(1+EXP(Models!$C$27*B21*(Models!$B$4*Models!$F$27+Models!$B$5+Models!$I$27*Models!$G$27)))</f>
        <v>97.67524643270221</v>
      </c>
      <c r="AN21" s="226">
        <f>100*EXP(-EXP(Models!$D$64*(ChartData!B21-Models!$C$64+Models!$E$64*Models!$B$4+Models!$F$64*Models!$B$5)))</f>
        <v>90.512000202657703</v>
      </c>
      <c r="AO21" s="232">
        <f>Models!$B$28*Models!$I$28+(200-Models!$B$28*Models!$I$28)/(1+EXP(Models!$C$28*B21*(Models!$B$4*Models!$F$28+Models!$B$5+Models!$I$28*Models!$G$28)))</f>
        <v>97.152880764864662</v>
      </c>
      <c r="AP21" s="232">
        <f>100*EXP(-EXP(Models!$D$65*(ChartData!B21-Models!$C$65+Models!$E$65*Models!$B$4+Models!$F$65*Models!$B$5)))</f>
        <v>61.659080275787247</v>
      </c>
      <c r="AQ21" s="238">
        <f>Models!$B$29*Models!$I$29+(200-Models!$B$29*Models!$I$29)/(1+EXP(Models!$C$29*B21*(Models!$B$4*Models!$F$29+Models!$B$5+Models!$I$29*Models!$G$29)))</f>
        <v>95.821907477550937</v>
      </c>
      <c r="AR21" s="238">
        <f>100*EXP(-EXP(Models!$D$66*(ChartData!B21-Models!$C$66+Models!$E$66*Models!$B$4+Models!$F$66*Models!$B$5)))</f>
        <v>80.402534277809281</v>
      </c>
      <c r="AS21" s="244">
        <f>Models!$B$30*Models!$I$30+(200-Models!$B$30*Models!$I$30)/(1+EXP(Models!$C$30*B21*(Models!$B$4*Models!$F$30+Models!$B$5+Models!$I$30*Models!$G$30)))</f>
        <v>99.610406339473258</v>
      </c>
      <c r="AT21" s="244">
        <f>100*EXP(-EXP(Models!$D$67*(ChartData!B21-Models!$C$67+Models!$E$67*Models!$B$4+Models!$F$67*Models!$B$5)))</f>
        <v>72.083986294710215</v>
      </c>
    </row>
    <row r="22" spans="1:46" x14ac:dyDescent="0.2">
      <c r="A22" s="38" t="s">
        <v>234</v>
      </c>
      <c r="B22">
        <v>280</v>
      </c>
      <c r="C22">
        <f>1-'Front Page'!$C$30</f>
        <v>0.99630303030303036</v>
      </c>
      <c r="D22" s="45">
        <f t="shared" si="0"/>
        <v>95.500934131776162</v>
      </c>
      <c r="E22" s="45">
        <f t="shared" si="1"/>
        <v>82.440561700836426</v>
      </c>
      <c r="F22" s="36">
        <f>Equations!$E$4/(1+EXP(Equations!$F$4*ChartData!B22*(Equations!$G$4*Equations!$C$4+Equations!$D$4)))</f>
        <v>97.32640014402223</v>
      </c>
      <c r="G22" s="36">
        <f>Equations!$E$7*EXP(-EXP(-Equations!$F$7*(ChartData!B22-Equations!$G$7+Equations!$H$7*Equations!$C$7+Equations!$I$7*Equations!$D$7)))</f>
        <v>88.037254081864063</v>
      </c>
      <c r="H22" s="55">
        <f>Models!$B$13+Models!$C$13*EXP(Models!$D$13*ChartData!B22+(Models!$E$13*ChartData!B22*Models!$E$3))</f>
        <v>91.936766213511874</v>
      </c>
      <c r="I22" s="55">
        <f>Models!$B$50*EXP(-EXP(Models!$D$50*(ChartData!B22+Models!$C$50-(Models!$E$50*Models!$B$5))))</f>
        <v>77.21531157794999</v>
      </c>
      <c r="J22" s="57">
        <f>Models!$B$12/(1+EXP(Models!$D$12*(ChartData!B22-Models!$C$12+Models!$E$12*ChartData!B22*Models!$B$5)))</f>
        <v>118.88237628741099</v>
      </c>
      <c r="K22" s="61">
        <f>Models!$B$49*EXP(-EXP(Models!$D$49*(ChartData!B22-Models!$C$49+(Models!$E$49*ChartData!B22*Models!$B$5))))</f>
        <v>51.047169431605852</v>
      </c>
      <c r="L22" s="62">
        <f>Models!$B$15/(1+EXP(Models!$D$15*(ChartData!B22*(1+Models!$D$15*Models!$B$5)-Models!$C$15)))</f>
        <v>70.297771483165846</v>
      </c>
      <c r="M22" s="63">
        <f>Models!$B$52*EXP(-EXP(Models!$D$52*(ChartData!B22*(1+Models!$D$52*Models!$B$5)-Models!$C$52)))</f>
        <v>57.607780225780161</v>
      </c>
      <c r="N22" s="53">
        <f>Models!$B$15/(1+EXP(Models!$D$15*(ChartData!B22-Models!$D$15+Models!$E$15*ChartData!B22*Models!$B$5)))</f>
        <v>65.437720433069373</v>
      </c>
      <c r="O22" s="53">
        <f>Models!$B$52*EXP(-EXP(Models!$D$52*(ChartData!B22-Models!$C$52+Models!$E$52*ChartData!B22*Models!$B$5)))</f>
        <v>64.338642215912827</v>
      </c>
      <c r="P22" s="172">
        <f>Models!$B$16*Models!$I$16+(100-Models!$B$16*Models!$I$16)/(1+EXP(Models!$C$16*(ChartData!B22-Models!$E$16+Models!$B$4*Models!$F$16+Models!$B$4*Models!$G$16*Models!$I$16+Models!$B$5*Models!$H$16)))</f>
        <v>97.671926083171769</v>
      </c>
      <c r="Q22" s="172">
        <f>Models!$B$53*EXP(-EXP(Models!$D$53*(ChartData!B22+Models!$C$53+Models!$B$5*Models!$E$53+Models!$B$4*Models!$F$53)))</f>
        <v>79.322618358789427</v>
      </c>
      <c r="R22" s="136">
        <f>Models!$B$17*Models!$I$17+(100-Models!$B$17*Models!$I$17)/(1+EXP(Models!$C$17*(ChartData!B22-Models!$E$17+Models!$B$4*Models!$F$17+Models!$B$4*Models!$G$17*Models!$I$17+Models!$B$5*Models!$H$17)))</f>
        <v>98.243511242423722</v>
      </c>
      <c r="S22" s="136">
        <f>Models!$B$54*EXP(-EXP(Models!$D$54*(ChartData!B22+Models!$C$54+Models!$B$5*Models!$E$54+Models!$B$4*Models!$F$54)))</f>
        <v>63.840733751598592</v>
      </c>
      <c r="T22" s="180">
        <f>Models!$B$18*Models!$I$18+(100-Models!$B$18*Models!$I$18)/(1+EXP(Models!$C$18*(ChartData!B22-Models!$E$18+Models!$B$4*Models!$F$18+Models!$B$4*Models!$G$18*Models!$I$18+Models!$B$5*Models!$H$18)))</f>
        <v>97.794876209072044</v>
      </c>
      <c r="U22" s="180">
        <f>Models!$B$55*EXP(-EXP(Models!$D$55*(ChartData!B22+Models!$C$55+Models!$B$5*Models!$E$55+Models!$B$4*Models!$F$55)))</f>
        <v>82.441168346331338</v>
      </c>
      <c r="V22" s="36">
        <f>Models!$B$19*Models!$I$19+(100-Models!$B$19*Models!$I$19)/(1+EXP(Models!$C$19*(ChartData!$B22-Models!$E$19+Models!$B$5*ChartData!$B22*Models!$F$19+Models!$B$4*Models!$G$19)))</f>
        <v>91.567403559329648</v>
      </c>
      <c r="W22" s="36">
        <f>Models!$B$56*EXP(-EXP(Models!$D$56*(ChartData!B22+Models!$C$56+Models!$B$5*Models!$E$56+Models!$B$4*Models!$F$56)))</f>
        <v>86.206327181259766</v>
      </c>
      <c r="X22" s="158">
        <f>Models!$B$20*Models!$I$20+(100-Models!$B$20*Models!$I$20)/(1+EXP(Models!$C$20*(ChartData!$B22-Models!$E$20+Models!$B$5*ChartData!$B22*Models!$F$20+Models!$B$4*Models!$G$20)))</f>
        <v>90.823400952841354</v>
      </c>
      <c r="Y22" s="158">
        <f>Models!$B$57*EXP(-EXP(Models!$D$57*(ChartData!B22+Models!$C$57+Models!$B$5*Models!$E$57+Models!$B$4*Models!$F$57)))</f>
        <v>90.714693834364937</v>
      </c>
      <c r="Z22" s="165">
        <f>Models!$B$21*Models!$I$21+(100-Models!$B$21*Models!$I$21)/(1+EXP(Models!$C$21*(ChartData!$B22-Models!$E$21+Models!$B$5*ChartData!$B22*Models!$F$21+Models!$B$4*Models!$G$21)))</f>
        <v>91.99355129795272</v>
      </c>
      <c r="AA22" s="165">
        <f>Models!$B$58*EXP(-EXP(Models!$D$58*(ChartData!B22+Models!$C$58+Models!$B$5*Models!$E$58+Models!$B$4*Models!$F$58)))</f>
        <v>91.277573505507107</v>
      </c>
      <c r="AB22" s="146">
        <f>200/(1+EXP(Models!$D$22*((Models!$E$22*Models!$B$4+Models!$B$5)*ChartData!B22)))</f>
        <v>98.046087152721398</v>
      </c>
      <c r="AC22" s="146">
        <f>100*EXP(-EXP(Models!$D$59*(ChartData!B22-Models!$C$59+Models!$E$59*Models!$B$4+Models!$F$59*Models!$B$5)))</f>
        <v>79.106396795798688</v>
      </c>
      <c r="AD22" s="149">
        <f>200/(1+EXP(Models!$D$23*((Models!$E$23*Models!$B$4+Models!$B$5)*ChartData!B22)))</f>
        <v>97.16375705466325</v>
      </c>
      <c r="AE22" s="149">
        <f>100*EXP(-EXP(Models!$D$60*(ChartData!B22-Models!$C$60+Models!$E$60*Models!$B$4+Models!$F$60*Models!$B$5)))</f>
        <v>83.659707077447337</v>
      </c>
      <c r="AF22" s="153">
        <f>200/(1+EXP(Models!$D$24*((Models!$E$24*Models!$B$4+Models!$B$5)*ChartData!B22)))</f>
        <v>96.881682452427185</v>
      </c>
      <c r="AG22" s="153">
        <f>100*EXP(-EXP(Models!$D$61*(ChartData!B22-Models!$C$61+Models!$E$61*Models!$B$4+Models!$F$61*Models!$B$5)))</f>
        <v>84.569362989169932</v>
      </c>
      <c r="AH22" s="266">
        <f>IF('Front Page'!$C$31&gt;0,1-'Front Page'!$C$31,"")</f>
        <v>0.995</v>
      </c>
      <c r="AI22" s="214">
        <f>Models!$B$25*Models!$I$25+(200-Models!$B$25*Models!$I$25)/(1+EXP(Models!$C$25*B22*(Models!$B$4*Models!$F$25+Models!$B$5+Models!$I$25*Models!$G$25)))</f>
        <v>97.340090692009582</v>
      </c>
      <c r="AJ22" s="214">
        <f>100*EXP(-EXP(Models!$D$62*(ChartData!B22-Models!$C$62+Models!$E$62*Models!$B$4+Models!$F$62*Models!$B$5)))</f>
        <v>86.206186144713058</v>
      </c>
      <c r="AK22" s="220">
        <f>Models!$B$26*Models!$I$26+(200-Models!$B$26*Models!$I$26)/(1+EXP(Models!$C$26*B22*(Models!$B$4*Models!$F$26+Models!$B$5+Models!$I$26*Models!$G$26)))</f>
        <v>96.233328537205296</v>
      </c>
      <c r="AL22" s="220">
        <f>100*EXP(-EXP(Models!$D$63*(ChartData!B22-Models!$C$63+Models!$E$63*Models!$B$4+Models!$F$63*Models!$B$5)))</f>
        <v>90.714388877611384</v>
      </c>
      <c r="AM22" s="226">
        <f>Models!$B$27*Models!$I$27+(200-Models!$B$27*Models!$I$27)/(1+EXP(Models!$C$27*B22*(Models!$B$4*Models!$F$27+Models!$B$5+Models!$I$27*Models!$G$27)))</f>
        <v>96.904392386755831</v>
      </c>
      <c r="AN22" s="226">
        <f>100*EXP(-EXP(Models!$D$64*(ChartData!B22-Models!$C$64+Models!$E$64*Models!$B$4+Models!$F$64*Models!$B$5)))</f>
        <v>91.277434461587987</v>
      </c>
      <c r="AO22" s="232">
        <f>Models!$B$28*Models!$I$28+(200-Models!$B$28*Models!$I$28)/(1+EXP(Models!$C$28*B22*(Models!$B$4*Models!$F$28+Models!$B$5+Models!$I$28*Models!$G$28)))</f>
        <v>96.934003967750527</v>
      </c>
      <c r="AP22" s="232">
        <f>100*EXP(-EXP(Models!$D$65*(ChartData!B22-Models!$C$65+Models!$E$65*Models!$B$4+Models!$F$65*Models!$B$5)))</f>
        <v>63.846117478107978</v>
      </c>
      <c r="AQ22" s="238">
        <f>Models!$B$29*Models!$I$29+(200-Models!$B$29*Models!$I$29)/(1+EXP(Models!$C$29*B22*(Models!$B$4*Models!$F$29+Models!$B$5+Models!$I$29*Models!$G$29)))</f>
        <v>95.500934131776162</v>
      </c>
      <c r="AR22" s="238">
        <f>100*EXP(-EXP(Models!$D$66*(ChartData!B22-Models!$C$66+Models!$E$66*Models!$B$4+Models!$F$66*Models!$B$5)))</f>
        <v>82.440561700836426</v>
      </c>
      <c r="AS22" s="244">
        <f>Models!$B$30*Models!$I$30+(200-Models!$B$30*Models!$I$30)/(1+EXP(Models!$C$30*B22*(Models!$B$4*Models!$F$30+Models!$B$5+Models!$I$30*Models!$G$30)))</f>
        <v>99.210997786380645</v>
      </c>
      <c r="AT22" s="244">
        <f>100*EXP(-EXP(Models!$D$67*(ChartData!B22-Models!$C$67+Models!$E$67*Models!$B$4+Models!$F$67*Models!$B$5)))</f>
        <v>74.340044329417381</v>
      </c>
    </row>
    <row r="23" spans="1:46" x14ac:dyDescent="0.2">
      <c r="A23" s="120" t="s">
        <v>285</v>
      </c>
      <c r="B23">
        <v>300</v>
      </c>
      <c r="C23">
        <f>1-'Front Page'!$C$30</f>
        <v>0.99630303030303036</v>
      </c>
      <c r="D23" s="45">
        <f t="shared" si="0"/>
        <v>95.18005364940349</v>
      </c>
      <c r="E23" s="45">
        <f t="shared" si="1"/>
        <v>84.287771514066762</v>
      </c>
      <c r="F23" s="36">
        <f>Equations!$E$4/(1+EXP(Equations!$F$4*ChartData!B23*(Equations!$G$4*Equations!$C$4+Equations!$D$4)))</f>
        <v>97.135529724685881</v>
      </c>
      <c r="G23" s="36">
        <f>Equations!$E$7*EXP(-EXP(-Equations!$F$7*(ChartData!B23-Equations!$G$7+Equations!$H$7*Equations!$C$7+Equations!$I$7*Equations!$D$7)))</f>
        <v>88.768331576879348</v>
      </c>
      <c r="H23" s="55">
        <f>Models!$B$13+Models!$C$13*EXP(Models!$D$13*ChartData!B23+(Models!$E$13*ChartData!B23*Models!$E$3))</f>
        <v>91.392489335465427</v>
      </c>
      <c r="I23" s="55">
        <f>Models!$B$50*EXP(-EXP(Models!$D$50*(ChartData!B23+Models!$C$50-(Models!$E$50*Models!$B$5))))</f>
        <v>78.106592881994715</v>
      </c>
      <c r="J23" s="57">
        <f>Models!$B$12/(1+EXP(Models!$D$12*(ChartData!B23-Models!$C$12+Models!$E$12*ChartData!B23*Models!$B$5)))</f>
        <v>116.68091744620756</v>
      </c>
      <c r="K23" s="61">
        <f>Models!$B$49*EXP(-EXP(Models!$D$49*(ChartData!B23-Models!$C$49+(Models!$E$49*ChartData!B23*Models!$B$5))))</f>
        <v>55.7424067657048</v>
      </c>
      <c r="L23" s="62">
        <f>Models!$B$15/(1+EXP(Models!$D$15*(ChartData!B23*(1+Models!$D$15*Models!$B$5)-Models!$C$15)))</f>
        <v>68.216050022273393</v>
      </c>
      <c r="M23" s="63">
        <f>Models!$B$52*EXP(-EXP(Models!$D$52*(ChartData!B23*(1+Models!$D$52*Models!$B$5)-Models!$C$52)))</f>
        <v>62.303391530360045</v>
      </c>
      <c r="N23" s="53">
        <f>Models!$B$15/(1+EXP(Models!$D$15*(ChartData!B23-Models!$D$15+Models!$E$15*ChartData!B23*Models!$B$5)))</f>
        <v>63.191016449116169</v>
      </c>
      <c r="O23" s="53">
        <f>Models!$B$52*EXP(-EXP(Models!$D$52*(ChartData!B23-Models!$C$52+Models!$E$52*ChartData!B23*Models!$B$5)))</f>
        <v>68.910826532508096</v>
      </c>
      <c r="P23" s="172">
        <f>Models!$B$16*Models!$I$16+(100-Models!$B$16*Models!$I$16)/(1+EXP(Models!$C$16*(ChartData!B23-Models!$E$16+Models!$B$4*Models!$F$16+Models!$B$4*Models!$G$16*Models!$I$16+Models!$B$5*Models!$H$16)))</f>
        <v>97.565429545627268</v>
      </c>
      <c r="Q23" s="172">
        <f>Models!$B$53*EXP(-EXP(Models!$D$53*(ChartData!B23+Models!$C$53+Models!$B$5*Models!$E$53+Models!$B$4*Models!$F$53)))</f>
        <v>81.296388332940694</v>
      </c>
      <c r="R23" s="136">
        <f>Models!$B$17*Models!$I$17+(100-Models!$B$17*Models!$I$17)/(1+EXP(Models!$C$17*(ChartData!B23-Models!$E$17+Models!$B$4*Models!$F$17+Models!$B$4*Models!$G$17*Models!$I$17+Models!$B$5*Models!$H$17)))</f>
        <v>98.179707618055403</v>
      </c>
      <c r="S23" s="136">
        <f>Models!$B$54*EXP(-EXP(Models!$D$54*(ChartData!B23+Models!$C$54+Models!$B$5*Models!$E$54+Models!$B$4*Models!$F$54)))</f>
        <v>65.939677863907747</v>
      </c>
      <c r="T23" s="180">
        <f>Models!$B$18*Models!$I$18+(100-Models!$B$18*Models!$I$18)/(1+EXP(Models!$C$18*(ChartData!B23-Models!$E$18+Models!$B$4*Models!$F$18+Models!$B$4*Models!$G$18*Models!$I$18+Models!$B$5*Models!$H$18)))</f>
        <v>97.675251705080228</v>
      </c>
      <c r="U23" s="180">
        <f>Models!$B$55*EXP(-EXP(Models!$D$55*(ChartData!B23+Models!$C$55+Models!$B$5*Models!$E$55+Models!$B$4*Models!$F$55)))</f>
        <v>84.288349388140858</v>
      </c>
      <c r="V23" s="36">
        <f>Models!$B$19*Models!$I$19+(100-Models!$B$19*Models!$I$19)/(1+EXP(Models!$C$19*(ChartData!$B23-Models!$E$19+Models!$B$5*ChartData!$B23*Models!$F$19+Models!$B$4*Models!$G$19)))</f>
        <v>91.470678384387725</v>
      </c>
      <c r="W23" s="36">
        <f>Models!$B$56*EXP(-EXP(Models!$D$56*(ChartData!B23+Models!$C$56+Models!$B$5*Models!$E$56+Models!$B$4*Models!$F$56)))</f>
        <v>86.897137489272581</v>
      </c>
      <c r="X23" s="158">
        <f>Models!$B$20*Models!$I$20+(100-Models!$B$20*Models!$I$20)/(1+EXP(Models!$C$20*(ChartData!$B23-Models!$E$20+Models!$B$5*ChartData!$B23*Models!$F$20+Models!$B$4*Models!$G$20)))</f>
        <v>90.669102544134034</v>
      </c>
      <c r="Y23" s="158">
        <f>Models!$B$57*EXP(-EXP(Models!$D$57*(ChartData!B23+Models!$C$57+Models!$B$5*Models!$E$57+Models!$B$4*Models!$F$57)))</f>
        <v>91.426629397973684</v>
      </c>
      <c r="Z23" s="165">
        <f>Models!$B$21*Models!$I$21+(100-Models!$B$21*Models!$I$21)/(1+EXP(Models!$C$21*(ChartData!$B23-Models!$E$21+Models!$B$5*ChartData!$B23*Models!$F$21+Models!$B$4*Models!$G$21)))</f>
        <v>91.845611758257249</v>
      </c>
      <c r="AA23" s="165">
        <f>Models!$B$58*EXP(-EXP(Models!$D$58*(ChartData!B23+Models!$C$58+Models!$B$5*Models!$E$58+Models!$B$4*Models!$F$58)))</f>
        <v>91.984011256493773</v>
      </c>
      <c r="AB23" s="146">
        <f>200/(1+EXP(Models!$D$22*((Models!$E$22*Models!$B$4+Models!$B$5)*ChartData!B23)))</f>
        <v>97.90656136990637</v>
      </c>
      <c r="AC23" s="146">
        <f>100*EXP(-EXP(Models!$D$59*(ChartData!B23-Models!$C$59+Models!$E$59*Models!$B$4+Models!$F$59*Models!$B$5)))</f>
        <v>79.813318531693852</v>
      </c>
      <c r="AD23" s="149">
        <f>200/(1+EXP(Models!$D$23*((Models!$E$23*Models!$B$4+Models!$B$5)*ChartData!B23)))</f>
        <v>96.96128884955283</v>
      </c>
      <c r="AE23" s="149">
        <f>100*EXP(-EXP(Models!$D$60*(ChartData!B23-Models!$C$60+Models!$E$60*Models!$B$4+Models!$F$60*Models!$B$5)))</f>
        <v>84.496318346403882</v>
      </c>
      <c r="AF23" s="153">
        <f>200/(1+EXP(Models!$D$24*((Models!$E$24*Models!$B$4+Models!$B$5)*ChartData!B23)))</f>
        <v>96.659105737090812</v>
      </c>
      <c r="AG23" s="153">
        <f>100*EXP(-EXP(Models!$D$61*(ChartData!B23-Models!$C$61+Models!$E$61*Models!$B$4+Models!$F$61*Models!$B$5)))</f>
        <v>85.421631720128786</v>
      </c>
      <c r="AH23" s="266">
        <f>IF('Front Page'!$C$31&gt;0,1-'Front Page'!$C$31,"")</f>
        <v>0.995</v>
      </c>
      <c r="AI23" s="214">
        <f>Models!$B$25*Models!$I$25+(200-Models!$B$25*Models!$I$25)/(1+EXP(Models!$C$25*B23*(Models!$B$4*Models!$F$25+Models!$B$5+Models!$I$25*Models!$G$25)))</f>
        <v>97.15019662524864</v>
      </c>
      <c r="AJ23" s="214">
        <f>100*EXP(-EXP(Models!$D$62*(ChartData!B23-Models!$C$62+Models!$E$62*Models!$B$4+Models!$F$62*Models!$B$5)))</f>
        <v>86.897002967426189</v>
      </c>
      <c r="AK23" s="220">
        <f>Models!$B$26*Models!$I$26+(200-Models!$B$26*Models!$I$26)/(1+EXP(Models!$C$26*B23*(Models!$B$4*Models!$F$26+Models!$B$5+Models!$I$26*Models!$G$26)))</f>
        <v>95.964563027108085</v>
      </c>
      <c r="AL23" s="220">
        <f>100*EXP(-EXP(Models!$D$63*(ChartData!B23-Models!$C$63+Models!$E$63*Models!$B$4+Models!$F$63*Models!$B$5)))</f>
        <v>91.426330312976219</v>
      </c>
      <c r="AM23" s="226">
        <f>Models!$B$27*Models!$I$27+(200-Models!$B$27*Models!$I$27)/(1+EXP(Models!$C$27*B23*(Models!$B$4*Models!$F$27+Models!$B$5+Models!$I$27*Models!$G$27)))</f>
        <v>96.135077749480928</v>
      </c>
      <c r="AN23" s="226">
        <f>100*EXP(-EXP(Models!$D$64*(ChartData!B23-Models!$C$64+Models!$E$64*Models!$B$4+Models!$F$64*Models!$B$5)))</f>
        <v>91.983882973134499</v>
      </c>
      <c r="AO23" s="232">
        <f>Models!$B$28*Models!$I$28+(200-Models!$B$28*Models!$I$28)/(1+EXP(Models!$C$28*B23*(Models!$B$4*Models!$F$28+Models!$B$5+Models!$I$28*Models!$G$28)))</f>
        <v>96.715156570894123</v>
      </c>
      <c r="AP23" s="232">
        <f>100*EXP(-EXP(Models!$D$65*(ChartData!B23-Models!$C$65+Models!$E$65*Models!$B$4+Models!$F$65*Models!$B$5)))</f>
        <v>65.944837750807082</v>
      </c>
      <c r="AQ23" s="238">
        <f>Models!$B$29*Models!$I$29+(200-Models!$B$29*Models!$I$29)/(1+EXP(Models!$C$29*B23*(Models!$B$4*Models!$F$29+Models!$B$5+Models!$I$29*Models!$G$29)))</f>
        <v>95.18005364940349</v>
      </c>
      <c r="AR23" s="238">
        <f>100*EXP(-EXP(Models!$D$66*(ChartData!B23-Models!$C$66+Models!$E$66*Models!$B$4+Models!$F$66*Models!$B$5)))</f>
        <v>84.287771514066762</v>
      </c>
      <c r="AS23" s="244">
        <f>Models!$B$30*Models!$I$30+(200-Models!$B$30*Models!$I$30)/(1+EXP(Models!$C$30*B23*(Models!$B$4*Models!$F$30+Models!$B$5+Models!$I$30*Models!$G$30)))</f>
        <v>98.81178713945792</v>
      </c>
      <c r="AT23" s="244">
        <f>100*EXP(-EXP(Models!$D$67*(ChartData!B23-Models!$C$67+Models!$E$67*Models!$B$4+Models!$F$67*Models!$B$5)))</f>
        <v>76.444593140503031</v>
      </c>
    </row>
    <row r="24" spans="1:46" x14ac:dyDescent="0.2">
      <c r="A24" s="120" t="s">
        <v>286</v>
      </c>
      <c r="B24">
        <v>320</v>
      </c>
      <c r="C24">
        <f>1-'Front Page'!$C$30</f>
        <v>0.99630303030303036</v>
      </c>
      <c r="D24" s="45">
        <f t="shared" si="0"/>
        <v>94.859272623788087</v>
      </c>
      <c r="E24" s="45">
        <f t="shared" si="1"/>
        <v>85.957504290303561</v>
      </c>
      <c r="F24" s="36">
        <f>Equations!$E$4/(1+EXP(Equations!$F$4*ChartData!B24*(Equations!$G$4*Equations!$C$4+Equations!$D$4)))</f>
        <v>96.944680191602714</v>
      </c>
      <c r="G24" s="36">
        <f>Equations!$E$7*EXP(-EXP(-Equations!$F$7*(ChartData!B24-Equations!$G$7+Equations!$H$7*Equations!$C$7+Equations!$I$7*Equations!$D$7)))</f>
        <v>89.457448262758149</v>
      </c>
      <c r="H24" s="55">
        <f>Models!$B$13+Models!$C$13*EXP(Models!$D$13*ChartData!B24+(Models!$E$13*ChartData!B24*Models!$E$3))</f>
        <v>90.852268460105478</v>
      </c>
      <c r="I24" s="55">
        <f>Models!$B$50*EXP(-EXP(Models!$D$50*(ChartData!B24+Models!$C$50-(Models!$E$50*Models!$B$5))))</f>
        <v>78.967926251450265</v>
      </c>
      <c r="J24" s="57">
        <f>Models!$B$12/(1+EXP(Models!$D$12*(ChartData!B24-Models!$C$12+Models!$E$12*ChartData!B24*Models!$B$5)))</f>
        <v>112.35722826855432</v>
      </c>
      <c r="K24" s="61">
        <f>Models!$B$49*EXP(-EXP(Models!$D$49*(ChartData!B24-Models!$C$49+(Models!$E$49*ChartData!B24*Models!$B$5))))</f>
        <v>60.172655490087955</v>
      </c>
      <c r="L24" s="62">
        <f>Models!$B$15/(1+EXP(Models!$D$15*(ChartData!B24*(1+Models!$D$15*Models!$B$5)-Models!$C$15)))</f>
        <v>66.164527226197421</v>
      </c>
      <c r="M24" s="63">
        <f>Models!$B$52*EXP(-EXP(Models!$D$52*(ChartData!B24*(1+Models!$D$52*Models!$B$5)-Models!$C$52)))</f>
        <v>66.635738794539009</v>
      </c>
      <c r="N24" s="53">
        <f>Models!$B$15/(1+EXP(Models!$D$15*(ChartData!B24-Models!$D$15+Models!$E$15*ChartData!B24*Models!$B$5)))</f>
        <v>60.986489412942795</v>
      </c>
      <c r="O24" s="53">
        <f>Models!$B$52*EXP(-EXP(Models!$D$52*(ChartData!B24-Models!$C$52+Models!$E$52*ChartData!B24*Models!$B$5)))</f>
        <v>73.023320446932487</v>
      </c>
      <c r="P24" s="172">
        <f>Models!$B$16*Models!$I$16+(100-Models!$B$16*Models!$I$16)/(1+EXP(Models!$C$16*(ChartData!B24-Models!$E$16+Models!$B$4*Models!$F$16+Models!$B$4*Models!$G$16*Models!$I$16+Models!$B$5*Models!$H$16)))</f>
        <v>97.454188357695458</v>
      </c>
      <c r="Q24" s="172">
        <f>Models!$B$53*EXP(-EXP(Models!$D$53*(ChartData!B24+Models!$C$53+Models!$B$5*Models!$E$53+Models!$B$4*Models!$F$53)))</f>
        <v>83.102273231914509</v>
      </c>
      <c r="R24" s="136">
        <f>Models!$B$17*Models!$I$17+(100-Models!$B$17*Models!$I$17)/(1+EXP(Models!$C$17*(ChartData!B24-Models!$E$17+Models!$B$4*Models!$F$17+Models!$B$4*Models!$G$17*Models!$I$17+Models!$B$5*Models!$H$17)))</f>
        <v>98.113630858004356</v>
      </c>
      <c r="S24" s="136">
        <f>Models!$B$54*EXP(-EXP(Models!$D$54*(ChartData!B24+Models!$C$54+Models!$B$5*Models!$E$54+Models!$B$4*Models!$F$54)))</f>
        <v>67.94900392494938</v>
      </c>
      <c r="T24" s="180">
        <f>Models!$B$18*Models!$I$18+(100-Models!$B$18*Models!$I$18)/(1+EXP(Models!$C$18*(ChartData!B24-Models!$E$18+Models!$B$4*Models!$F$18+Models!$B$4*Models!$G$18*Models!$I$18+Models!$B$5*Models!$H$18)))</f>
        <v>97.549315239990264</v>
      </c>
      <c r="U24" s="180">
        <f>Models!$B$55*EXP(-EXP(Models!$D$55*(ChartData!B24+Models!$C$55+Models!$B$5*Models!$E$55+Models!$B$4*Models!$F$55)))</f>
        <v>85.958051994278165</v>
      </c>
      <c r="V24" s="36">
        <f>Models!$B$19*Models!$I$19+(100-Models!$B$19*Models!$I$19)/(1+EXP(Models!$C$19*(ChartData!$B24-Models!$E$19+Models!$B$5*ChartData!$B24*Models!$F$19+Models!$B$4*Models!$G$19)))</f>
        <v>91.372948263495275</v>
      </c>
      <c r="W24" s="36">
        <f>Models!$B$56*EXP(-EXP(Models!$D$56*(ChartData!B24+Models!$C$56+Models!$B$5*Models!$E$56+Models!$B$4*Models!$F$56)))</f>
        <v>87.555896584062623</v>
      </c>
      <c r="X24" s="158">
        <f>Models!$B$20*Models!$I$20+(100-Models!$B$20*Models!$I$20)/(1+EXP(Models!$C$20*(ChartData!$B24-Models!$E$20+Models!$B$5*ChartData!$B24*Models!$F$20+Models!$B$4*Models!$G$20)))</f>
        <v>90.512480727020886</v>
      </c>
      <c r="Y24" s="158">
        <f>Models!$B$57*EXP(-EXP(Models!$D$57*(ChartData!B24+Models!$C$57+Models!$B$5*Models!$E$57+Models!$B$4*Models!$F$57)))</f>
        <v>92.086385943987651</v>
      </c>
      <c r="Z24" s="165">
        <f>Models!$B$21*Models!$I$21+(100-Models!$B$21*Models!$I$21)/(1+EXP(Models!$C$21*(ChartData!$B24-Models!$E$21+Models!$B$5*ChartData!$B24*Models!$F$21+Models!$B$4*Models!$G$21)))</f>
        <v>91.695225978607951</v>
      </c>
      <c r="AA24" s="165">
        <f>Models!$B$58*EXP(-EXP(Models!$D$58*(ChartData!B24+Models!$C$58+Models!$B$5*Models!$E$58+Models!$B$4*Models!$F$58)))</f>
        <v>92.63556553083454</v>
      </c>
      <c r="AB24" s="146">
        <f>200/(1+EXP(Models!$D$22*((Models!$E$22*Models!$B$4+Models!$B$5)*ChartData!B24)))</f>
        <v>97.767043740968347</v>
      </c>
      <c r="AC24" s="146">
        <f>100*EXP(-EXP(Models!$D$59*(ChartData!B24-Models!$C$59+Models!$E$59*Models!$B$4+Models!$F$59*Models!$B$5)))</f>
        <v>80.499367844997991</v>
      </c>
      <c r="AD24" s="149">
        <f>200/(1+EXP(Models!$D$23*((Models!$E$23*Models!$B$4+Models!$B$5)*ChartData!B24)))</f>
        <v>96.758845577801836</v>
      </c>
      <c r="AE24" s="149">
        <f>100*EXP(-EXP(Models!$D$60*(ChartData!B24-Models!$C$60+Models!$E$60*Models!$B$4+Models!$F$60*Models!$B$5)))</f>
        <v>85.293947762707262</v>
      </c>
      <c r="AF24" s="153">
        <f>200/(1+EXP(Models!$D$24*((Models!$E$24*Models!$B$4+Models!$B$5)*ChartData!B24)))</f>
        <v>96.436562155653149</v>
      </c>
      <c r="AG24" s="153">
        <f>100*EXP(-EXP(Models!$D$61*(ChartData!B24-Models!$C$61+Models!$E$61*Models!$B$4+Models!$F$61*Models!$B$5)))</f>
        <v>86.230741612126508</v>
      </c>
      <c r="AH24" s="266">
        <f>IF('Front Page'!$C$31&gt;0,1-'Front Page'!$C$31,"")</f>
        <v>0.995</v>
      </c>
      <c r="AI24" s="214">
        <f>Models!$B$25*Models!$I$25+(200-Models!$B$25*Models!$I$25)/(1+EXP(Models!$C$25*B24*(Models!$B$4*Models!$F$25+Models!$B$5+Models!$I$25*Models!$G$25)))</f>
        <v>96.960323125608255</v>
      </c>
      <c r="AJ24" s="214">
        <f>100*EXP(-EXP(Models!$D$62*(ChartData!B24-Models!$C$62+Models!$E$62*Models!$B$4+Models!$F$62*Models!$B$5)))</f>
        <v>87.555768331050487</v>
      </c>
      <c r="AK24" s="220">
        <f>Models!$B$26*Models!$I$26+(200-Models!$B$26*Models!$I$26)/(1+EXP(Models!$C$26*B24*(Models!$B$4*Models!$F$26+Models!$B$5+Models!$I$26*Models!$G$26)))</f>
        <v>95.695855899297641</v>
      </c>
      <c r="AL24" s="220">
        <f>100*EXP(-EXP(Models!$D$63*(ChartData!B24-Models!$C$63+Models!$E$63*Models!$B$4+Models!$F$63*Models!$B$5)))</f>
        <v>92.086093681915159</v>
      </c>
      <c r="AM24" s="226">
        <f>Models!$B$27*Models!$I$27+(200-Models!$B$27*Models!$I$27)/(1+EXP(Models!$C$27*B24*(Models!$B$4*Models!$F$27+Models!$B$5+Models!$I$27*Models!$G$27)))</f>
        <v>95.367407935748091</v>
      </c>
      <c r="AN24" s="226">
        <f>100*EXP(-EXP(Models!$D$64*(ChartData!B24-Models!$C$64+Models!$E$64*Models!$B$4+Models!$F$64*Models!$B$5)))</f>
        <v>92.635447252336789</v>
      </c>
      <c r="AO24" s="232">
        <f>Models!$B$28*Models!$I$28+(200-Models!$B$28*Models!$I$28)/(1+EXP(Models!$C$28*B24*(Models!$B$4*Models!$F$28+Models!$B$5+Models!$I$28*Models!$G$28)))</f>
        <v>96.49634066847122</v>
      </c>
      <c r="AP24" s="232">
        <f>100*EXP(-EXP(Models!$D$65*(ChartData!B24-Models!$C$65+Models!$E$65*Models!$B$4+Models!$F$65*Models!$B$5)))</f>
        <v>67.953937761890415</v>
      </c>
      <c r="AQ24" s="238">
        <f>Models!$B$29*Models!$I$29+(200-Models!$B$29*Models!$I$29)/(1+EXP(Models!$C$29*B24*(Models!$B$4*Models!$F$29+Models!$B$5+Models!$I$29*Models!$G$29)))</f>
        <v>94.859272623788087</v>
      </c>
      <c r="AR24" s="238">
        <f>100*EXP(-EXP(Models!$D$66*(ChartData!B24-Models!$C$66+Models!$E$66*Models!$B$4+Models!$F$66*Models!$B$5)))</f>
        <v>85.957504290303561</v>
      </c>
      <c r="AS24" s="244">
        <f>Models!$B$30*Models!$I$30+(200-Models!$B$30*Models!$I$30)/(1+EXP(Models!$C$30*B24*(Models!$B$4*Models!$F$30+Models!$B$5+Models!$I$30*Models!$G$30)))</f>
        <v>98.412788389813244</v>
      </c>
      <c r="AT24" s="244">
        <f>100*EXP(-EXP(Models!$D$67*(ChartData!B24-Models!$C$67+Models!$E$67*Models!$B$4+Models!$F$67*Models!$B$5)))</f>
        <v>78.402389626710658</v>
      </c>
    </row>
    <row r="25" spans="1:46" x14ac:dyDescent="0.2">
      <c r="A25" s="120" t="s">
        <v>287</v>
      </c>
      <c r="B25">
        <v>340</v>
      </c>
      <c r="C25">
        <f>1-'Front Page'!$C$30</f>
        <v>0.99630303030303036</v>
      </c>
      <c r="D25" s="45">
        <f t="shared" si="0"/>
        <v>94.538597640085726</v>
      </c>
      <c r="E25" s="45">
        <f t="shared" si="1"/>
        <v>87.463199609277893</v>
      </c>
      <c r="F25" s="36">
        <f>Equations!$E$4/(1+EXP(Equations!$F$4*ChartData!B25*(Equations!$G$4*Equations!$C$4+Equations!$D$4)))</f>
        <v>96.753852933831013</v>
      </c>
      <c r="G25" s="36">
        <f>Equations!$E$7*EXP(-EXP(-Equations!$F$7*(ChartData!B25-Equations!$G$7+Equations!$H$7*Equations!$C$7+Equations!$I$7*Equations!$D$7)))</f>
        <v>90.106675275309868</v>
      </c>
      <c r="H25" s="55">
        <f>Models!$B$13+Models!$C$13*EXP(Models!$D$13*ChartData!B25+(Models!$E$13*ChartData!B25*Models!$E$3))</f>
        <v>90.316073361717059</v>
      </c>
      <c r="I25" s="55">
        <f>Models!$B$50*EXP(-EXP(Models!$D$50*(ChartData!B25+Models!$C$50-(Models!$E$50*Models!$B$5))))</f>
        <v>79.799903501003101</v>
      </c>
      <c r="J25" s="57">
        <f>Models!$B$12/(1+EXP(Models!$D$12*(ChartData!B25-Models!$C$12+Models!$E$12*ChartData!B25*Models!$B$5)))</f>
        <v>104.32384355539573</v>
      </c>
      <c r="K25" s="61">
        <f>Models!$B$49*EXP(-EXP(Models!$D$49*(ChartData!B25-Models!$C$49+(Models!$E$49*ChartData!B25*Models!$B$5))))</f>
        <v>64.308208971428854</v>
      </c>
      <c r="L25" s="62">
        <f>Models!$B$15/(1+EXP(Models!$D$15*(ChartData!B25*(1+Models!$D$15*Models!$B$5)-Models!$C$15)))</f>
        <v>64.14467111307556</v>
      </c>
      <c r="M25" s="63">
        <f>Models!$B$52*EXP(-EXP(Models!$D$52*(ChartData!B25*(1+Models!$D$52*Models!$B$5)-Models!$C$52)))</f>
        <v>70.591869037117831</v>
      </c>
      <c r="N25" s="53">
        <f>Models!$B$15/(1+EXP(Models!$D$15*(ChartData!B25-Models!$D$15+Models!$E$15*ChartData!B25*Models!$B$5)))</f>
        <v>58.825801499372709</v>
      </c>
      <c r="O25" s="53">
        <f>Models!$B$52*EXP(-EXP(Models!$D$52*(ChartData!B25-Models!$C$52+Models!$E$52*ChartData!B25*Models!$B$5)))</f>
        <v>76.686124271596199</v>
      </c>
      <c r="P25" s="172">
        <f>Models!$B$16*Models!$I$16+(100-Models!$B$16*Models!$I$16)/(1+EXP(Models!$C$16*(ChartData!B25-Models!$E$16+Models!$B$4*Models!$F$16+Models!$B$4*Models!$G$16*Models!$I$16+Models!$B$5*Models!$H$16)))</f>
        <v>97.338002983218075</v>
      </c>
      <c r="Q25" s="172">
        <f>Models!$B$53*EXP(-EXP(Models!$D$53*(ChartData!B25+Models!$C$53+Models!$B$5*Models!$E$53+Models!$B$4*Models!$F$53)))</f>
        <v>84.750479497929803</v>
      </c>
      <c r="R25" s="136">
        <f>Models!$B$17*Models!$I$17+(100-Models!$B$17*Models!$I$17)/(1+EXP(Models!$C$17*(ChartData!B25-Models!$E$17+Models!$B$4*Models!$F$17+Models!$B$4*Models!$G$17*Models!$I$17+Models!$B$5*Models!$H$17)))</f>
        <v>98.045203263150228</v>
      </c>
      <c r="S25" s="136">
        <f>Models!$B$54*EXP(-EXP(Models!$D$54*(ChartData!B25+Models!$C$54+Models!$B$5*Models!$E$54+Models!$B$4*Models!$F$54)))</f>
        <v>69.868221204983456</v>
      </c>
      <c r="T25" s="180">
        <f>Models!$B$18*Models!$I$18+(100-Models!$B$18*Models!$I$18)/(1+EXP(Models!$C$18*(ChartData!B25-Models!$E$18+Models!$B$4*Models!$F$18+Models!$B$4*Models!$G$18*Models!$I$18+Models!$B$5*Models!$H$18)))</f>
        <v>97.4167534715409</v>
      </c>
      <c r="U25" s="180">
        <f>Models!$B$55*EXP(-EXP(Models!$D$55*(ChartData!B25+Models!$C$55+Models!$B$5*Models!$E$55+Models!$B$4*Models!$F$55)))</f>
        <v>87.463716382661516</v>
      </c>
      <c r="V25" s="36">
        <f>Models!$B$19*Models!$I$19+(100-Models!$B$19*Models!$I$19)/(1+EXP(Models!$C$19*(ChartData!$B25-Models!$E$19+Models!$B$5*ChartData!$B25*Models!$F$19+Models!$B$4*Models!$G$19)))</f>
        <v>91.274205160831258</v>
      </c>
      <c r="W25" s="36">
        <f>Models!$B$56*EXP(-EXP(Models!$D$56*(ChartData!B25+Models!$C$56+Models!$B$5*Models!$E$56+Models!$B$4*Models!$F$56)))</f>
        <v>88.183829232832039</v>
      </c>
      <c r="X25" s="158">
        <f>Models!$B$20*Models!$I$20+(100-Models!$B$20*Models!$I$20)/(1+EXP(Models!$C$20*(ChartData!$B25-Models!$E$20+Models!$B$5*ChartData!$B25*Models!$F$20+Models!$B$4*Models!$G$20)))</f>
        <v>90.353509666462116</v>
      </c>
      <c r="Y25" s="158">
        <f>Models!$B$57*EXP(-EXP(Models!$D$57*(ChartData!B25+Models!$C$57+Models!$B$5*Models!$E$57+Models!$B$4*Models!$F$57)))</f>
        <v>92.697419875517312</v>
      </c>
      <c r="Z25" s="165">
        <f>Models!$B$21*Models!$I$21+(100-Models!$B$21*Models!$I$21)/(1+EXP(Models!$C$21*(ChartData!$B25-Models!$E$21+Models!$B$5*ChartData!$B25*Models!$F$21+Models!$B$4*Models!$G$21)))</f>
        <v>91.542364173998223</v>
      </c>
      <c r="AA25" s="165">
        <f>Models!$B$58*EXP(-EXP(Models!$D$58*(ChartData!B25+Models!$C$58+Models!$B$5*Models!$E$58+Models!$B$4*Models!$F$58)))</f>
        <v>93.236125563868583</v>
      </c>
      <c r="AB25" s="146">
        <f>200/(1+EXP(Models!$D$22*((Models!$E$22*Models!$B$4+Models!$B$5)*ChartData!B25)))</f>
        <v>97.627534808798828</v>
      </c>
      <c r="AC25" s="146">
        <f>100*EXP(-EXP(Models!$D$59*(ChartData!B25-Models!$C$59+Models!$E$59*Models!$B$4+Models!$F$59*Models!$B$5)))</f>
        <v>81.164940484160226</v>
      </c>
      <c r="AD25" s="149">
        <f>200/(1+EXP(Models!$D$23*((Models!$E$23*Models!$B$4+Models!$B$5)*ChartData!B25)))</f>
        <v>96.556428897122174</v>
      </c>
      <c r="AE25" s="149">
        <f>100*EXP(-EXP(Models!$D$60*(ChartData!B25-Models!$C$60+Models!$E$60*Models!$B$4+Models!$F$60*Models!$B$5)))</f>
        <v>86.054001570568488</v>
      </c>
      <c r="AF25" s="153">
        <f>200/(1+EXP(Models!$D$24*((Models!$E$24*Models!$B$4+Models!$B$5)*ChartData!B25)))</f>
        <v>96.214053909792554</v>
      </c>
      <c r="AG25" s="153">
        <f>100*EXP(-EXP(Models!$D$61*(ChartData!B25-Models!$C$61+Models!$E$61*Models!$B$4+Models!$F$61*Models!$B$5)))</f>
        <v>86.998431358227762</v>
      </c>
      <c r="AH25" s="266">
        <f>IF('Front Page'!$C$31&gt;0,1-'Front Page'!$C$31,"")</f>
        <v>0.995</v>
      </c>
      <c r="AI25" s="214">
        <f>Models!$B$25*Models!$I$25+(200-Models!$B$25*Models!$I$25)/(1+EXP(Models!$C$25*B25*(Models!$B$4*Models!$F$25+Models!$B$5+Models!$I$25*Models!$G$25)))</f>
        <v>96.770471560956238</v>
      </c>
      <c r="AJ25" s="214">
        <f>100*EXP(-EXP(Models!$D$62*(ChartData!B25-Models!$C$62+Models!$E$62*Models!$B$4+Models!$F$62*Models!$B$5)))</f>
        <v>88.183707006170039</v>
      </c>
      <c r="AK25" s="220">
        <f>Models!$B$26*Models!$I$26+(200-Models!$B$26*Models!$I$26)/(1+EXP(Models!$C$26*B25*(Models!$B$4*Models!$F$26+Models!$B$5+Models!$I$26*Models!$G$26)))</f>
        <v>95.427211027291065</v>
      </c>
      <c r="AL25" s="220">
        <f>100*EXP(-EXP(Models!$D$63*(ChartData!B25-Models!$C$63+Models!$E$63*Models!$B$4+Models!$F$63*Models!$B$5)))</f>
        <v>92.697135215827643</v>
      </c>
      <c r="AM25" s="226">
        <f>Models!$B$27*Models!$I$27+(200-Models!$B$27*Models!$I$27)/(1+EXP(Models!$C$27*B25*(Models!$B$4*Models!$F$27+Models!$B$5+Models!$I$27*Models!$G$27)))</f>
        <v>94.601487439315619</v>
      </c>
      <c r="AN25" s="226">
        <f>100*EXP(-EXP(Models!$D$64*(ChartData!B25-Models!$C$64+Models!$E$64*Models!$B$4+Models!$F$64*Models!$B$5)))</f>
        <v>93.236016574955414</v>
      </c>
      <c r="AO25" s="232">
        <f>Models!$B$28*Models!$I$28+(200-Models!$B$28*Models!$I$28)/(1+EXP(Models!$C$28*B25*(Models!$B$4*Models!$F$28+Models!$B$5+Models!$I$28*Models!$G$28)))</f>
        <v>96.277558353450416</v>
      </c>
      <c r="AP25" s="232">
        <f>100*EXP(-EXP(Models!$D$65*(ChartData!B25-Models!$C$65+Models!$E$65*Models!$B$4+Models!$F$65*Models!$B$5)))</f>
        <v>69.872928699349202</v>
      </c>
      <c r="AQ25" s="238">
        <f>Models!$B$29*Models!$I$29+(200-Models!$B$29*Models!$I$29)/(1+EXP(Models!$C$29*B25*(Models!$B$4*Models!$F$29+Models!$B$5+Models!$I$29*Models!$G$29)))</f>
        <v>94.538597640085726</v>
      </c>
      <c r="AR25" s="238">
        <f>100*EXP(-EXP(Models!$D$66*(ChartData!B25-Models!$C$66+Models!$E$66*Models!$B$4+Models!$F$66*Models!$B$5)))</f>
        <v>87.463199609277893</v>
      </c>
      <c r="AS25" s="244">
        <f>Models!$B$30*Models!$I$30+(200-Models!$B$30*Models!$I$30)/(1+EXP(Models!$C$30*B25*(Models!$B$4*Models!$F$30+Models!$B$5+Models!$I$30*Models!$G$30)))</f>
        <v>98.014015498694448</v>
      </c>
      <c r="AT25" s="244">
        <f>100*EXP(-EXP(Models!$D$67*(ChartData!B25-Models!$C$67+Models!$E$67*Models!$B$4+Models!$F$67*Models!$B$5)))</f>
        <v>80.219113151891861</v>
      </c>
    </row>
    <row r="26" spans="1:46" x14ac:dyDescent="0.2">
      <c r="B26">
        <v>360</v>
      </c>
      <c r="C26">
        <f>1-'Front Page'!$C$30</f>
        <v>0.99630303030303036</v>
      </c>
      <c r="D26" s="45">
        <f t="shared" si="0"/>
        <v>94.218035274714396</v>
      </c>
      <c r="E26" s="45">
        <f t="shared" si="1"/>
        <v>88.818095699231108</v>
      </c>
      <c r="F26" s="36">
        <f>Equations!$E$4/(1+EXP(Equations!$F$4*ChartData!B26*(Equations!$G$4*Equations!$C$4+Equations!$D$4)))</f>
        <v>96.56304933977971</v>
      </c>
      <c r="G26" s="36">
        <f>Equations!$E$7*EXP(-EXP(-Equations!$F$7*(ChartData!B26-Equations!$G$7+Equations!$H$7*Equations!$C$7+Equations!$I$7*Equations!$D$7)))</f>
        <v>90.718024688178261</v>
      </c>
      <c r="H26" s="55">
        <f>Models!$B$13+Models!$C$13*EXP(Models!$D$13*ChartData!B26+(Models!$E$13*ChartData!B26*Models!$E$3))</f>
        <v>89.783874039830039</v>
      </c>
      <c r="I26" s="55">
        <f>Models!$B$50*EXP(-EXP(Models!$D$50*(ChartData!B26+Models!$C$50-(Models!$E$50*Models!$B$5))))</f>
        <v>80.603142765430434</v>
      </c>
      <c r="J26" s="57">
        <f>Models!$B$12/(1+EXP(Models!$D$12*(ChartData!B26-Models!$C$12+Models!$E$12*ChartData!B26*Models!$B$5)))</f>
        <v>90.828605476797236</v>
      </c>
      <c r="K26" s="61">
        <f>Models!$B$49*EXP(-EXP(Models!$D$49*(ChartData!B26-Models!$C$49+(Models!$E$49*ChartData!B26*Models!$B$5))))</f>
        <v>68.132788067938392</v>
      </c>
      <c r="L26" s="62">
        <f>Models!$B$15/(1+EXP(Models!$D$15*(ChartData!B26*(1+Models!$D$15*Models!$B$5)-Models!$C$15)))</f>
        <v>62.157838878300126</v>
      </c>
      <c r="M26" s="63">
        <f>Models!$B$52*EXP(-EXP(Models!$D$52*(ChartData!B26*(1+Models!$D$52*Models!$B$5)-Models!$C$52)))</f>
        <v>74.172587781115993</v>
      </c>
      <c r="N26" s="53">
        <f>Models!$B$15/(1+EXP(Models!$D$15*(ChartData!B26-Models!$D$15+Models!$E$15*ChartData!B26*Models!$B$5)))</f>
        <v>56.710435631144342</v>
      </c>
      <c r="O26" s="53">
        <f>Models!$B$52*EXP(-EXP(Models!$D$52*(ChartData!B26-Models!$C$52+Models!$E$52*ChartData!B26*Models!$B$5)))</f>
        <v>79.921414063828763</v>
      </c>
      <c r="P26" s="172">
        <f>Models!$B$16*Models!$I$16+(100-Models!$B$16*Models!$I$16)/(1+EXP(Models!$C$16*(ChartData!B26-Models!$E$16+Models!$B$4*Models!$F$16+Models!$B$4*Models!$G$16*Models!$I$16+Models!$B$5*Models!$H$16)))</f>
        <v>97.216666598108503</v>
      </c>
      <c r="Q26" s="172">
        <f>Models!$B$53*EXP(-EXP(Models!$D$53*(ChartData!B26+Models!$C$53+Models!$B$5*Models!$E$53+Models!$B$4*Models!$F$53)))</f>
        <v>86.251458873899779</v>
      </c>
      <c r="R26" s="136">
        <f>Models!$B$17*Models!$I$17+(100-Models!$B$17*Models!$I$17)/(1+EXP(Models!$C$17*(ChartData!B26-Models!$E$17+Models!$B$4*Models!$F$17+Models!$B$4*Models!$G$17*Models!$I$17+Models!$B$5*Models!$H$17)))</f>
        <v>97.974344720889306</v>
      </c>
      <c r="S26" s="136">
        <f>Models!$B$54*EXP(-EXP(Models!$D$54*(ChartData!B26+Models!$C$54+Models!$B$5*Models!$E$54+Models!$B$4*Models!$F$54)))</f>
        <v>71.697552540163343</v>
      </c>
      <c r="T26" s="180">
        <f>Models!$B$18*Models!$I$18+(100-Models!$B$18*Models!$I$18)/(1+EXP(Models!$C$18*(ChartData!B26-Models!$E$18+Models!$B$4*Models!$F$18+Models!$B$4*Models!$G$18*Models!$I$18+Models!$B$5*Models!$H$18)))</f>
        <v>97.277239685415253</v>
      </c>
      <c r="U26" s="180">
        <f>Models!$B$55*EXP(-EXP(Models!$D$55*(ChartData!B26+Models!$C$55+Models!$B$5*Models!$E$55+Models!$B$4*Models!$F$55)))</f>
        <v>88.818581317654292</v>
      </c>
      <c r="V26" s="36">
        <f>Models!$B$19*Models!$I$19+(100-Models!$B$19*Models!$I$19)/(1+EXP(Models!$C$19*(ChartData!$B26-Models!$E$19+Models!$B$5*ChartData!$B26*Models!$F$19+Models!$B$4*Models!$G$19)))</f>
        <v>91.174441032075379</v>
      </c>
      <c r="W26" s="36">
        <f>Models!$B$56*EXP(-EXP(Models!$D$56*(ChartData!B26+Models!$C$56+Models!$B$5*Models!$E$56+Models!$B$4*Models!$F$56)))</f>
        <v>88.782141466259958</v>
      </c>
      <c r="X26" s="158">
        <f>Models!$B$20*Models!$I$20+(100-Models!$B$20*Models!$I$20)/(1+EXP(Models!$C$20*(ChartData!$B26-Models!$E$20+Models!$B$5*ChartData!$B26*Models!$F$20+Models!$B$4*Models!$G$20)))</f>
        <v>90.192163551666425</v>
      </c>
      <c r="Y26" s="158">
        <f>Models!$B$57*EXP(-EXP(Models!$D$57*(ChartData!B26+Models!$C$57+Models!$B$5*Models!$E$57+Models!$B$4*Models!$F$57)))</f>
        <v>93.263016117479978</v>
      </c>
      <c r="Z26" s="165">
        <f>Models!$B$21*Models!$I$21+(100-Models!$B$21*Models!$I$21)/(1+EXP(Models!$C$21*(ChartData!$B26-Models!$E$21+Models!$B$5*ChartData!$B26*Models!$F$21+Models!$B$4*Models!$G$21)))</f>
        <v>91.386996595783444</v>
      </c>
      <c r="AA26" s="165">
        <f>Models!$B$58*EXP(-EXP(Models!$D$58*(ChartData!B26+Models!$C$58+Models!$B$5*Models!$E$58+Models!$B$4*Models!$F$58)))</f>
        <v>93.789366445310733</v>
      </c>
      <c r="AB26" s="146">
        <f>200/(1+EXP(Models!$D$22*((Models!$E$22*Models!$B$4+Models!$B$5)*ChartData!B26)))</f>
        <v>97.488035116153867</v>
      </c>
      <c r="AC26" s="146">
        <f>100*EXP(-EXP(Models!$D$59*(ChartData!B26-Models!$C$59+Models!$E$59*Models!$B$4+Models!$F$59*Models!$B$5)))</f>
        <v>81.810441864558754</v>
      </c>
      <c r="AD26" s="149">
        <f>200/(1+EXP(Models!$D$23*((Models!$E$23*Models!$B$4+Models!$B$5)*ChartData!B26)))</f>
        <v>96.354040464353545</v>
      </c>
      <c r="AE26" s="149">
        <f>100*EXP(-EXP(Models!$D$60*(ChartData!B26-Models!$C$60+Models!$E$60*Models!$B$4+Models!$F$60*Models!$B$5)))</f>
        <v>86.777881117479581</v>
      </c>
      <c r="AF26" s="153">
        <f>200/(1+EXP(Models!$D$24*((Models!$E$24*Models!$B$4+Models!$B$5)*ChartData!B26)))</f>
        <v>95.991583199786689</v>
      </c>
      <c r="AG26" s="153">
        <f>100*EXP(-EXP(Models!$D$61*(ChartData!B26-Models!$C$61+Models!$E$61*Models!$B$4+Models!$F$61*Models!$B$5)))</f>
        <v>87.726422946392205</v>
      </c>
      <c r="AH26" s="266">
        <f>IF('Front Page'!$C$31&gt;0,1-'Front Page'!$C$31,"")</f>
        <v>0.995</v>
      </c>
      <c r="AI26" s="214">
        <f>Models!$B$25*Models!$I$25+(200-Models!$B$25*Models!$I$25)/(1+EXP(Models!$C$25*B26*(Models!$B$4*Models!$F$25+Models!$B$5+Models!$I$25*Models!$G$25)))</f>
        <v>96.580643298527576</v>
      </c>
      <c r="AJ26" s="214">
        <f>100*EXP(-EXP(Models!$D$62*(ChartData!B26-Models!$C$62+Models!$E$62*Models!$B$4+Models!$F$62*Models!$B$5)))</f>
        <v>88.782025027536065</v>
      </c>
      <c r="AK26" s="220">
        <f>Models!$B$26*Models!$I$26+(200-Models!$B$26*Models!$I$26)/(1+EXP(Models!$C$26*B26*(Models!$B$4*Models!$F$26+Models!$B$5+Models!$I$26*Models!$G$26)))</f>
        <v>95.158632281007087</v>
      </c>
      <c r="AL26" s="220">
        <f>100*EXP(-EXP(Models!$D$63*(ChartData!B26-Models!$C$63+Models!$E$63*Models!$B$4+Models!$F$63*Models!$B$5)))</f>
        <v>93.262739685376474</v>
      </c>
      <c r="AM26" s="226">
        <f>Models!$B$27*Models!$I$27+(200-Models!$B$27*Models!$I$27)/(1+EXP(Models!$C$27*B26*(Models!$B$4*Models!$F$27+Models!$B$5+Models!$I$27*Models!$G$27)))</f>
        <v>93.837419777583349</v>
      </c>
      <c r="AN26" s="226">
        <f>100*EXP(-EXP(Models!$D$64*(ChartData!B26-Models!$C$64+Models!$E$64*Models!$B$4+Models!$F$64*Models!$B$5)))</f>
        <v>93.789266071187441</v>
      </c>
      <c r="AO26" s="232">
        <f>Models!$B$28*Models!$I$28+(200-Models!$B$28*Models!$I$28)/(1+EXP(Models!$C$28*B26*(Models!$B$4*Models!$F$28+Models!$B$5+Models!$I$28*Models!$G$28)))</f>
        <v>96.058811717513194</v>
      </c>
      <c r="AP26" s="232">
        <f>100*EXP(-EXP(Models!$D$65*(ChartData!B26-Models!$C$65+Models!$E$65*Models!$B$4+Models!$F$65*Models!$B$5)))</f>
        <v>71.702035067634895</v>
      </c>
      <c r="AQ26" s="238">
        <f>Models!$B$29*Models!$I$29+(200-Models!$B$29*Models!$I$29)/(1+EXP(Models!$C$29*B26*(Models!$B$4*Models!$F$29+Models!$B$5+Models!$I$29*Models!$G$29)))</f>
        <v>94.218035274714396</v>
      </c>
      <c r="AR26" s="238">
        <f>100*EXP(-EXP(Models!$D$66*(ChartData!B26-Models!$C$66+Models!$E$66*Models!$B$4+Models!$F$66*Models!$B$5)))</f>
        <v>88.818095699231108</v>
      </c>
      <c r="AS26" s="244">
        <f>Models!$B$30*Models!$I$30+(200-Models!$B$30*Models!$I$30)/(1+EXP(Models!$C$30*B26*(Models!$B$4*Models!$F$30+Models!$B$5+Models!$I$30*Models!$G$30)))</f>
        <v>97.615482395547602</v>
      </c>
      <c r="AT26" s="244">
        <f>100*EXP(-EXP(Models!$D$67*(ChartData!B26-Models!$C$67+Models!$E$67*Models!$B$4+Models!$F$67*Models!$B$5)))</f>
        <v>81.901110128367691</v>
      </c>
    </row>
    <row r="27" spans="1:46" x14ac:dyDescent="0.2">
      <c r="B27">
        <v>380</v>
      </c>
      <c r="C27">
        <f>1-'Front Page'!$C$30</f>
        <v>0.99630303030303036</v>
      </c>
      <c r="D27" s="45">
        <f t="shared" si="0"/>
        <v>93.897592094816915</v>
      </c>
      <c r="E27" s="45">
        <f t="shared" si="1"/>
        <v>90.035008131044819</v>
      </c>
      <c r="F27" s="36">
        <f>Equations!$E$4/(1+EXP(Equations!$F$4*ChartData!B27*(Equations!$G$4*Equations!$C$4+Equations!$D$4)))</f>
        <v>96.372270797168142</v>
      </c>
      <c r="G27" s="36">
        <f>Equations!$E$7*EXP(-EXP(-Equations!$F$7*(ChartData!B27-Equations!$G$7+Equations!$H$7*Equations!$C$7+Equations!$I$7*Equations!$D$7)))</f>
        <v>91.29344502644409</v>
      </c>
      <c r="H27" s="55">
        <f>Models!$B$13+Models!$C$13*EXP(Models!$D$13*ChartData!B27+(Models!$E$13*ChartData!B27*Models!$E$3))</f>
        <v>89.255640717540643</v>
      </c>
      <c r="I27" s="55">
        <f>Models!$B$50*EXP(-EXP(Models!$D$50*(ChartData!B27+Models!$C$50-(Models!$E$50*Models!$B$5))))</f>
        <v>81.378284077499075</v>
      </c>
      <c r="J27" s="57">
        <f>Models!$B$12/(1+EXP(Models!$D$12*(ChartData!B27-Models!$C$12+Models!$E$12*ChartData!B27*Models!$B$5)))</f>
        <v>71.585247528662336</v>
      </c>
      <c r="K27" s="61">
        <f>Models!$B$49*EXP(-EXP(Models!$D$49*(ChartData!B27-Models!$C$49+(Models!$E$49*ChartData!B27*Models!$B$5))))</f>
        <v>71.641179981492414</v>
      </c>
      <c r="L27" s="62">
        <f>Models!$B$15/(1+EXP(Models!$D$15*(ChartData!B27*(1+Models!$D$15*Models!$B$5)-Models!$C$15)))</f>
        <v>60.205275086738148</v>
      </c>
      <c r="M27" s="63">
        <f>Models!$B$52*EXP(-EXP(Models!$D$52*(ChartData!B27*(1+Models!$D$52*Models!$B$5)-Models!$C$52)))</f>
        <v>77.388973521196192</v>
      </c>
      <c r="N27" s="53">
        <f>Models!$B$15/(1+EXP(Models!$D$15*(ChartData!B27-Models!$D$15+Models!$E$15*ChartData!B27*Models!$B$5)))</f>
        <v>54.641695645620459</v>
      </c>
      <c r="O27" s="53">
        <f>Models!$B$52*EXP(-EXP(Models!$D$52*(ChartData!B27-Models!$C$52+Models!$E$52*ChartData!B27*Models!$B$5)))</f>
        <v>82.759104353027396</v>
      </c>
      <c r="P27" s="172">
        <f>Models!$B$16*Models!$I$16+(100-Models!$B$16*Models!$I$16)/(1+EXP(Models!$C$16*(ChartData!B27-Models!$E$16+Models!$B$4*Models!$F$16+Models!$B$4*Models!$G$16*Models!$I$16+Models!$B$5*Models!$H$16)))</f>
        <v>97.089964928548994</v>
      </c>
      <c r="Q27" s="172">
        <f>Models!$B$53*EXP(-EXP(Models!$D$53*(ChartData!B27+Models!$C$53+Models!$B$5*Models!$E$53+Models!$B$4*Models!$F$53)))</f>
        <v>87.615668803161142</v>
      </c>
      <c r="R27" s="136">
        <f>Models!$B$17*Models!$I$17+(100-Models!$B$17*Models!$I$17)/(1+EXP(Models!$C$17*(ChartData!B27-Models!$E$17+Models!$B$4*Models!$F$17+Models!$B$4*Models!$G$17*Models!$I$17+Models!$B$5*Models!$H$17)))</f>
        <v>97.900972648238664</v>
      </c>
      <c r="S27" s="136">
        <f>Models!$B$54*EXP(-EXP(Models!$D$54*(ChartData!B27+Models!$C$54+Models!$B$5*Models!$E$54+Models!$B$4*Models!$F$54)))</f>
        <v>73.437837438277626</v>
      </c>
      <c r="T27" s="180">
        <f>Models!$B$18*Models!$I$18+(100-Models!$B$18*Models!$I$18)/(1+EXP(Models!$C$18*(ChartData!B27-Models!$E$18+Models!$B$4*Models!$F$18+Models!$B$4*Models!$G$18*Models!$I$18+Models!$B$5*Models!$H$18)))</f>
        <v>97.130433470262631</v>
      </c>
      <c r="U27" s="180">
        <f>Models!$B$55*EXP(-EXP(Models!$D$55*(ChartData!B27+Models!$C$55+Models!$B$5*Models!$E$55+Models!$B$4*Models!$F$55)))</f>
        <v>90.035462811398176</v>
      </c>
      <c r="V27" s="36">
        <f>Models!$B$19*Models!$I$19+(100-Models!$B$19*Models!$I$19)/(1+EXP(Models!$C$19*(ChartData!$B27-Models!$E$19+Models!$B$5*ChartData!$B27*Models!$F$19+Models!$B$4*Models!$G$19)))</f>
        <v>91.073647825893474</v>
      </c>
      <c r="W27" s="36">
        <f>Models!$B$56*EXP(-EXP(Models!$D$56*(ChartData!B27+Models!$C$56+Models!$B$5*Models!$E$56+Models!$B$4*Models!$F$56)))</f>
        <v>89.352017387793865</v>
      </c>
      <c r="X27" s="158">
        <f>Models!$B$20*Models!$I$20+(100-Models!$B$20*Models!$I$20)/(1+EXP(Models!$C$20*(ChartData!$B27-Models!$E$20+Models!$B$5*ChartData!$B27*Models!$F$20+Models!$B$4*Models!$G$20)))</f>
        <v>90.028416608727838</v>
      </c>
      <c r="Y27" s="158">
        <f>Models!$B$57*EXP(-EXP(Models!$D$57*(ChartData!B27+Models!$C$57+Models!$B$5*Models!$E$57+Models!$B$4*Models!$F$57)))</f>
        <v>93.786286983774119</v>
      </c>
      <c r="Z27" s="165">
        <f>Models!$B$21*Models!$I$21+(100-Models!$B$21*Models!$I$21)/(1+EXP(Models!$C$21*(ChartData!$B27-Models!$E$21+Models!$B$5*ChartData!$B27*Models!$F$21+Models!$B$4*Models!$G$21)))</f>
        <v>91.229093549490017</v>
      </c>
      <c r="AA27" s="165">
        <f>Models!$B$58*EXP(-EXP(Models!$D$58*(ChartData!B27+Models!$C$58+Models!$B$5*Models!$E$58+Models!$B$4*Models!$F$58)))</f>
        <v>94.298750163285334</v>
      </c>
      <c r="AB27" s="146">
        <f>200/(1+EXP(Models!$D$22*((Models!$E$22*Models!$B$4+Models!$B$5)*ChartData!B27)))</f>
        <v>97.348545205645721</v>
      </c>
      <c r="AC27" s="146">
        <f>100*EXP(-EXP(Models!$D$59*(ChartData!B27-Models!$C$59+Models!$E$59*Models!$B$4+Models!$F$59*Models!$B$5)))</f>
        <v>82.43628534517083</v>
      </c>
      <c r="AD27" s="149">
        <f>200/(1+EXP(Models!$D$23*((Models!$E$23*Models!$B$4+Models!$B$5)*ChartData!B27)))</f>
        <v>96.151681935409258</v>
      </c>
      <c r="AE27" s="149">
        <f>100*EXP(-EXP(Models!$D$60*(ChartData!B27-Models!$C$60+Models!$E$60*Models!$B$4+Models!$F$60*Models!$B$5)))</f>
        <v>87.466976593654593</v>
      </c>
      <c r="AF27" s="153">
        <f>200/(1+EXP(Models!$D$24*((Models!$E$24*Models!$B$4+Models!$B$5)*ChartData!B27)))</f>
        <v>95.76915222442571</v>
      </c>
      <c r="AG27" s="153">
        <f>100*EXP(-EXP(Models!$D$61*(ChartData!B27-Models!$C$61+Models!$E$61*Models!$B$4+Models!$F$61*Models!$B$5)))</f>
        <v>88.416414205966504</v>
      </c>
      <c r="AH27" s="266">
        <f>IF('Front Page'!$C$31&gt;0,1-'Front Page'!$C$31,"")</f>
        <v>0.995</v>
      </c>
      <c r="AI27" s="214">
        <f>Models!$B$25*Models!$I$25+(200-Models!$B$25*Models!$I$25)/(1+EXP(Models!$C$25*B27*(Models!$B$4*Models!$F$25+Models!$B$5+Models!$I$25*Models!$G$25)))</f>
        <v>96.390839704885153</v>
      </c>
      <c r="AJ27" s="214">
        <f>100*EXP(-EXP(Models!$D$62*(ChartData!B27-Models!$C$62+Models!$E$62*Models!$B$4+Models!$F$62*Models!$B$5)))</f>
        <v>89.351906503252238</v>
      </c>
      <c r="AK27" s="220">
        <f>Models!$B$26*Models!$I$26+(200-Models!$B$26*Models!$I$26)/(1+EXP(Models!$C$26*B27*(Models!$B$4*Models!$F$26+Models!$B$5+Models!$I$26*Models!$G$26)))</f>
        <v>94.89012352654342</v>
      </c>
      <c r="AL27" s="220">
        <f>100*EXP(-EXP(Models!$D$63*(ChartData!B27-Models!$C$63+Models!$E$63*Models!$B$4+Models!$F$63*Models!$B$5)))</f>
        <v>93.786019266710525</v>
      </c>
      <c r="AM27" s="226">
        <f>Models!$B$27*Models!$I$27+(200-Models!$B$27*Models!$I$27)/(1+EXP(Models!$C$27*B27*(Models!$B$4*Models!$F$27+Models!$B$5+Models!$I$27*Models!$G$27)))</f>
        <v>93.075307437492597</v>
      </c>
      <c r="AN27" s="226">
        <f>100*EXP(-EXP(Models!$D$64*(ChartData!B27-Models!$C$64+Models!$E$64*Models!$B$4+Models!$F$64*Models!$B$5)))</f>
        <v>94.298657769202933</v>
      </c>
      <c r="AO27" s="232">
        <f>Models!$B$28*Models!$I$28+(200-Models!$B$28*Models!$I$28)/(1+EXP(Models!$C$28*B27*(Models!$B$4*Models!$F$28+Models!$B$5+Models!$I$28*Models!$G$28)))</f>
        <v>95.840102850974063</v>
      </c>
      <c r="AP27" s="232">
        <f>100*EXP(-EXP(Models!$D$65*(ChartData!B27-Models!$C$65+Models!$E$65*Models!$B$4+Models!$F$65*Models!$B$5)))</f>
        <v>73.442097806052971</v>
      </c>
      <c r="AQ27" s="238">
        <f>Models!$B$29*Models!$I$29+(200-Models!$B$29*Models!$I$29)/(1+EXP(Models!$C$29*B27*(Models!$B$4*Models!$F$29+Models!$B$5+Models!$I$29*Models!$G$29)))</f>
        <v>93.897592094816915</v>
      </c>
      <c r="AR27" s="238">
        <f>100*EXP(-EXP(Models!$D$66*(ChartData!B27-Models!$C$66+Models!$E$66*Models!$B$4+Models!$F$66*Models!$B$5)))</f>
        <v>90.035008131044819</v>
      </c>
      <c r="AS27" s="244">
        <f>Models!$B$30*Models!$I$30+(200-Models!$B$30*Models!$I$30)/(1+EXP(Models!$C$30*B27*(Models!$B$4*Models!$F$30+Models!$B$5+Models!$I$30*Models!$G$30)))</f>
        <v>97.217202976085375</v>
      </c>
      <c r="AT27" s="244">
        <f>100*EXP(-EXP(Models!$D$67*(ChartData!B27-Models!$C$67+Models!$E$67*Models!$B$4+Models!$F$67*Models!$B$5)))</f>
        <v>83.455175748103869</v>
      </c>
    </row>
    <row r="28" spans="1:46" x14ac:dyDescent="0.2">
      <c r="A28" s="107" t="s">
        <v>238</v>
      </c>
      <c r="B28">
        <v>400</v>
      </c>
      <c r="C28">
        <f>1-'Front Page'!$C$30</f>
        <v>0.99630303030303036</v>
      </c>
      <c r="D28" s="45">
        <f t="shared" si="0"/>
        <v>93.577274657725596</v>
      </c>
      <c r="E28" s="45">
        <f t="shared" si="1"/>
        <v>91.126173770338681</v>
      </c>
      <c r="F28" s="36">
        <f>Equations!$E$4/(1+EXP(Equations!$F$4*ChartData!B28*(Equations!$G$4*Equations!$C$4+Equations!$D$4)))</f>
        <v>96.181518692985676</v>
      </c>
      <c r="G28" s="36">
        <f>Equations!$E$7*EXP(-EXP(-Equations!$F$7*(ChartData!B28-Equations!$G$7+Equations!$H$7*Equations!$C$7+Equations!$I$7*Equations!$D$7)))</f>
        <v>91.834817919399711</v>
      </c>
      <c r="H28" s="55">
        <f>Models!$B$13+Models!$C$13*EXP(Models!$D$13*ChartData!B28+(Models!$E$13*ChartData!B28*Models!$E$3))</f>
        <v>88.731343839845408</v>
      </c>
      <c r="I28" s="55">
        <f>Models!$B$50*EXP(-EXP(Models!$D$50*(ChartData!B28+Models!$C$50-(Models!$E$50*Models!$B$5))))</f>
        <v>82.125985279935549</v>
      </c>
      <c r="J28" s="57">
        <f>Models!$B$12/(1+EXP(Models!$D$12*(ChartData!B28-Models!$C$12+Models!$E$12*ChartData!B28*Models!$B$5)))</f>
        <v>49.702676598841023</v>
      </c>
      <c r="K28" s="61">
        <f>Models!$B$49*EXP(-EXP(Models!$D$49*(ChartData!B28-Models!$C$49+(Models!$E$49*ChartData!B28*Models!$B$5))))</f>
        <v>74.836893242717181</v>
      </c>
      <c r="L28" s="62">
        <f>Models!$B$15/(1+EXP(Models!$D$15*(ChartData!B28*(1+Models!$D$15*Models!$B$5)-Models!$C$15)))</f>
        <v>58.288110603790138</v>
      </c>
      <c r="M28" s="63">
        <f>Models!$B$52*EXP(-EXP(Models!$D$52*(ChartData!B28*(1+Models!$D$52*Models!$B$5)-Models!$C$52)))</f>
        <v>80.259310775219532</v>
      </c>
      <c r="N28" s="53">
        <f>Models!$B$15/(1+EXP(Models!$D$15*(ChartData!B28-Models!$D$15+Models!$E$15*ChartData!B28*Models!$B$5)))</f>
        <v>52.620707753005306</v>
      </c>
      <c r="O28" s="53">
        <f>Models!$B$52*EXP(-EXP(Models!$D$52*(ChartData!B28-Models!$C$52+Models!$E$52*ChartData!B28*Models!$B$5)))</f>
        <v>85.233351362463566</v>
      </c>
      <c r="P28" s="172">
        <f>Models!$B$16*Models!$I$16+(100-Models!$B$16*Models!$I$16)/(1+EXP(Models!$C$16*(ChartData!B28-Models!$E$16+Models!$B$4*Models!$F$16+Models!$B$4*Models!$G$16*Models!$I$16+Models!$B$5*Models!$H$16)))</f>
        <v>96.95767609632253</v>
      </c>
      <c r="Q28" s="172">
        <f>Models!$B$53*EXP(-EXP(Models!$D$53*(ChartData!B28+Models!$C$53+Models!$B$5*Models!$E$53+Models!$B$4*Models!$F$53)))</f>
        <v>88.853387279396046</v>
      </c>
      <c r="R28" s="136">
        <f>Models!$B$17*Models!$I$17+(100-Models!$B$17*Models!$I$17)/(1+EXP(Models!$C$17*(ChartData!B28-Models!$E$17+Models!$B$4*Models!$F$17+Models!$B$4*Models!$G$17*Models!$I$17+Models!$B$5*Models!$H$17)))</f>
        <v>97.825001935017838</v>
      </c>
      <c r="S28" s="136">
        <f>Models!$B$54*EXP(-EXP(Models!$D$54*(ChartData!B28+Models!$C$54+Models!$B$5*Models!$E$54+Models!$B$4*Models!$F$54)))</f>
        <v>75.090440784175456</v>
      </c>
      <c r="T28" s="180">
        <f>Models!$B$18*Models!$I$18+(100-Models!$B$18*Models!$I$18)/(1+EXP(Models!$C$18*(ChartData!B28-Models!$E$18+Models!$B$4*Models!$F$18+Models!$B$4*Models!$G$18*Models!$I$18+Models!$B$5*Models!$H$18)))</f>
        <v>96.97598041505583</v>
      </c>
      <c r="U28" s="180">
        <f>Models!$B$55*EXP(-EXP(Models!$D$55*(ChartData!B28+Models!$C$55+Models!$B$5*Models!$E$55+Models!$B$4*Models!$F$55)))</f>
        <v>91.12659808477261</v>
      </c>
      <c r="V28" s="36">
        <f>Models!$B$19*Models!$I$19+(100-Models!$B$19*Models!$I$19)/(1+EXP(Models!$C$19*(ChartData!$B28-Models!$E$19+Models!$B$5*ChartData!$B28*Models!$F$19+Models!$B$4*Models!$G$19)))</f>
        <v>90.971817485459553</v>
      </c>
      <c r="W28" s="36">
        <f>Models!$B$56*EXP(-EXP(Models!$D$56*(ChartData!B28+Models!$C$56+Models!$B$5*Models!$E$56+Models!$B$4*Models!$F$56)))</f>
        <v>89.894616489777249</v>
      </c>
      <c r="X28" s="158">
        <f>Models!$B$20*Models!$I$20+(100-Models!$B$20*Models!$I$20)/(1+EXP(Models!$C$20*(ChartData!$B28-Models!$E$20+Models!$B$5*ChartData!$B28*Models!$F$20+Models!$B$4*Models!$G$20)))</f>
        <v>89.862243113667276</v>
      </c>
      <c r="Y28" s="158">
        <f>Models!$B$57*EXP(-EXP(Models!$D$57*(ChartData!B28+Models!$C$57+Models!$B$5*Models!$E$57+Models!$B$4*Models!$F$57)))</f>
        <v>94.270173129513424</v>
      </c>
      <c r="Z28" s="165">
        <f>Models!$B$21*Models!$I$21+(100-Models!$B$21*Models!$I$21)/(1+EXP(Models!$C$21*(ChartData!$B28-Models!$E$21+Models!$B$5*ChartData!$B28*Models!$F$21+Models!$B$4*Models!$G$21)))</f>
        <v>91.068625413244888</v>
      </c>
      <c r="AA28" s="165">
        <f>Models!$B$58*EXP(-EXP(Models!$D$58*(ChartData!B28+Models!$C$58+Models!$B$5*Models!$E$58+Models!$B$4*Models!$F$58)))</f>
        <v>94.767528990311121</v>
      </c>
      <c r="AB28" s="146">
        <f>200/(1+EXP(Models!$D$22*((Models!$E$22*Models!$B$4+Models!$B$5)*ChartData!B28)))</f>
        <v>97.20906561973419</v>
      </c>
      <c r="AC28" s="146">
        <f>100*EXP(-EXP(Models!$D$59*(ChartData!B28-Models!$C$59+Models!$E$59*Models!$B$4+Models!$F$59*Models!$B$5)))</f>
        <v>83.042890625345194</v>
      </c>
      <c r="AD28" s="149">
        <f>200/(1+EXP(Models!$D$23*((Models!$E$23*Models!$B$4+Models!$B$5)*ChartData!B28)))</f>
        <v>95.949354965222355</v>
      </c>
      <c r="AE28" s="149">
        <f>100*EXP(-EXP(Models!$D$60*(ChartData!B28-Models!$C$60+Models!$E$60*Models!$B$4+Models!$F$60*Models!$B$5)))</f>
        <v>88.122661620848859</v>
      </c>
      <c r="AF28" s="153">
        <f>200/(1+EXP(Models!$D$24*((Models!$E$24*Models!$B$4+Models!$B$5)*ChartData!B28)))</f>
        <v>95.546763180925566</v>
      </c>
      <c r="AG28" s="153">
        <f>100*EXP(-EXP(Models!$D$61*(ChartData!B28-Models!$C$61+Models!$E$61*Models!$B$4+Models!$F$61*Models!$B$5)))</f>
        <v>89.070072519288857</v>
      </c>
      <c r="AH28" s="266">
        <f>IF('Front Page'!$C$31&gt;0,1-'Front Page'!$C$31,"")</f>
        <v>0.995</v>
      </c>
      <c r="AI28" s="214">
        <f>Models!$B$25*Models!$I$25+(200-Models!$B$25*Models!$I$25)/(1+EXP(Models!$C$25*B28*(Models!$B$4*Models!$F$25+Models!$B$5+Models!$I$25*Models!$G$25)))</f>
        <v>96.201062145880286</v>
      </c>
      <c r="AJ28" s="214">
        <f>100*EXP(-EXP(Models!$D$62*(ChartData!B28-Models!$C$62+Models!$E$62*Models!$B$4+Models!$F$62*Models!$B$5)))</f>
        <v>89.894510930806177</v>
      </c>
      <c r="AK28" s="220">
        <f>Models!$B$26*Models!$I$26+(200-Models!$B$26*Models!$I$26)/(1+EXP(Models!$C$26*B28*(Models!$B$4*Models!$F$26+Models!$B$5+Models!$I$26*Models!$G$26)))</f>
        <v>94.621688625955215</v>
      </c>
      <c r="AL28" s="220">
        <f>100*EXP(-EXP(Models!$D$63*(ChartData!B28-Models!$C$63+Models!$E$63*Models!$B$4+Models!$F$63*Models!$B$5)))</f>
        <v>94.26991449266157</v>
      </c>
      <c r="AM28" s="226">
        <f>Models!$B$27*Models!$I$27+(200-Models!$B$27*Models!$I$27)/(1+EXP(Models!$C$27*B28*(Models!$B$4*Models!$F$27+Models!$B$5+Models!$I$27*Models!$G$27)))</f>
        <v>92.315251822630202</v>
      </c>
      <c r="AN28" s="226">
        <f>100*EXP(-EXP(Models!$D$64*(ChartData!B28-Models!$C$64+Models!$E$64*Models!$B$4+Models!$F$64*Models!$B$5)))</f>
        <v>94.767443980738562</v>
      </c>
      <c r="AO28" s="232">
        <f>Models!$B$28*Models!$I$28+(200-Models!$B$28*Models!$I$28)/(1+EXP(Models!$C$28*B28*(Models!$B$4*Models!$F$28+Models!$B$5+Models!$I$28*Models!$G$28)))</f>
        <v>95.621433842700867</v>
      </c>
      <c r="AP28" s="232">
        <f>100*EXP(-EXP(Models!$D$65*(ChartData!B28-Models!$C$65+Models!$E$65*Models!$B$4+Models!$F$65*Models!$B$5)))</f>
        <v>75.094483009498759</v>
      </c>
      <c r="AQ28" s="238">
        <f>Models!$B$29*Models!$I$29+(200-Models!$B$29*Models!$I$29)/(1+EXP(Models!$C$29*B28*(Models!$B$4*Models!$F$29+Models!$B$5+Models!$I$29*Models!$G$29)))</f>
        <v>93.577274657725596</v>
      </c>
      <c r="AR28" s="238">
        <f>100*EXP(-EXP(Models!$D$66*(ChartData!B28-Models!$C$66+Models!$E$66*Models!$B$4+Models!$F$66*Models!$B$5)))</f>
        <v>91.126173770338681</v>
      </c>
      <c r="AS28" s="244">
        <f>Models!$B$30*Models!$I$30+(200-Models!$B$30*Models!$I$30)/(1+EXP(Models!$C$30*B28*(Models!$B$4*Models!$F$30+Models!$B$5+Models!$I$30*Models!$G$30)))</f>
        <v>96.819191100365529</v>
      </c>
      <c r="AT28" s="244">
        <f>100*EXP(-EXP(Models!$D$67*(ChartData!B28-Models!$C$67+Models!$E$67*Models!$B$4+Models!$F$67*Models!$B$5)))</f>
        <v>84.888370602658128</v>
      </c>
    </row>
    <row r="29" spans="1:46" x14ac:dyDescent="0.2">
      <c r="A29" s="108">
        <f>MAX(IF(D73&lt;E73,D73,E73),0)</f>
        <v>1.6077561532018763</v>
      </c>
      <c r="B29">
        <v>450</v>
      </c>
      <c r="C29">
        <f>1-'Front Page'!$C$30</f>
        <v>0.99630303030303036</v>
      </c>
      <c r="D29" s="45">
        <f t="shared" si="0"/>
        <v>92.777074127485051</v>
      </c>
      <c r="E29" s="45">
        <f t="shared" si="1"/>
        <v>93.377937315246669</v>
      </c>
      <c r="F29" s="36">
        <f>Equations!$E$4/(1+EXP(Equations!$F$4*ChartData!B29*(Equations!$G$4*Equations!$C$4+Equations!$D$4)))</f>
        <v>95.704763195715842</v>
      </c>
      <c r="G29" s="36">
        <f>Equations!$E$7*EXP(-EXP(-Equations!$F$7*(ChartData!B29-Equations!$G$7+Equations!$H$7*Equations!$C$7+Equations!$I$7*Equations!$D$7)))</f>
        <v>93.051012002526903</v>
      </c>
      <c r="H29" s="55">
        <f>Models!$B$13+Models!$C$13*EXP(Models!$D$13*ChartData!B29+(Models!$E$13*ChartData!B29*Models!$E$3))</f>
        <v>87.437631618938269</v>
      </c>
      <c r="I29" s="55">
        <f>Models!$B$50*EXP(-EXP(Models!$D$50*(ChartData!B29+Models!$C$50-(Models!$E$50*Models!$B$5))))</f>
        <v>83.879622337087227</v>
      </c>
      <c r="J29" s="57">
        <f>Models!$B$12/(1+EXP(Models!$D$12*(ChartData!B29-Models!$C$12+Models!$E$12*ChartData!B29*Models!$B$5)))</f>
        <v>12.18547673883085</v>
      </c>
      <c r="K29" s="61">
        <f>Models!$B$49*EXP(-EXP(Models!$D$49*(ChartData!B29-Models!$C$49+(Models!$E$49*ChartData!B29*Models!$B$5))))</f>
        <v>81.535333323791562</v>
      </c>
      <c r="L29" s="62">
        <f>Models!$B$15/(1+EXP(Models!$D$15*(ChartData!B29*(1+Models!$D$15*Models!$B$5)-Models!$C$15)))</f>
        <v>53.656464535061573</v>
      </c>
      <c r="M29" s="63">
        <f>Models!$B$52*EXP(-EXP(Models!$D$52*(ChartData!B29*(1+Models!$D$52*Models!$B$5)-Models!$C$52)))</f>
        <v>86.077718898157869</v>
      </c>
      <c r="N29" s="53">
        <f>Models!$B$15/(1+EXP(Models!$D$15*(ChartData!B29-Models!$D$15+Models!$E$15*ChartData!B29*Models!$B$5)))</f>
        <v>47.782975767526217</v>
      </c>
      <c r="O29" s="53">
        <f>Models!$B$52*EXP(-EXP(Models!$D$52*(ChartData!B29-Models!$C$52+Models!$E$52*ChartData!B29*Models!$B$5)))</f>
        <v>90.062796733851229</v>
      </c>
      <c r="P29" s="172">
        <f>Models!$B$16*Models!$I$16+(100-Models!$B$16*Models!$I$16)/(1+EXP(Models!$C$16*(ChartData!B29-Models!$E$16+Models!$B$4*Models!$F$16+Models!$B$4*Models!$G$16*Models!$I$16+Models!$B$5*Models!$H$16)))</f>
        <v>96.600983801243373</v>
      </c>
      <c r="Q29" s="172">
        <f>Models!$B$53*EXP(-EXP(Models!$D$53*(ChartData!B29+Models!$C$53+Models!$B$5*Models!$E$53+Models!$B$4*Models!$F$53)))</f>
        <v>91.458597301817406</v>
      </c>
      <c r="R29" s="136">
        <f>Models!$B$17*Models!$I$17+(100-Models!$B$17*Models!$I$17)/(1+EXP(Models!$C$17*(ChartData!B29-Models!$E$17+Models!$B$4*Models!$F$17+Models!$B$4*Models!$G$17*Models!$I$17+Models!$B$5*Models!$H$17)))</f>
        <v>97.62312409707269</v>
      </c>
      <c r="S29" s="136">
        <f>Models!$B$54*EXP(-EXP(Models!$D$54*(ChartData!B29+Models!$C$54+Models!$B$5*Models!$E$54+Models!$B$4*Models!$F$54)))</f>
        <v>78.851065471617346</v>
      </c>
      <c r="T29" s="180">
        <f>Models!$B$18*Models!$I$18+(100-Models!$B$18*Models!$I$18)/(1+EXP(Models!$C$18*(ChartData!B29-Models!$E$18+Models!$B$4*Models!$F$18+Models!$B$4*Models!$G$18*Models!$I$18+Models!$B$5*Models!$H$18)))</f>
        <v>96.553937566329168</v>
      </c>
      <c r="U29" s="180">
        <f>Models!$B$55*EXP(-EXP(Models!$D$55*(ChartData!B29+Models!$C$55+Models!$B$5*Models!$E$55+Models!$B$4*Models!$F$55)))</f>
        <v>93.37828988661947</v>
      </c>
      <c r="V29" s="36">
        <f>Models!$B$19*Models!$I$19+(100-Models!$B$19*Models!$I$19)/(1+EXP(Models!$C$19*(ChartData!$B29-Models!$E$19+Models!$B$5*ChartData!$B29*Models!$F$19+Models!$B$4*Models!$G$19)))</f>
        <v>90.71265126794907</v>
      </c>
      <c r="W29" s="36">
        <f>Models!$B$56*EXP(-EXP(Models!$D$56*(ChartData!B29+Models!$C$56+Models!$B$5*Models!$E$56+Models!$B$4*Models!$F$56)))</f>
        <v>91.139140355401352</v>
      </c>
      <c r="X29" s="158">
        <f>Models!$B$20*Models!$I$20+(100-Models!$B$20*Models!$I$20)/(1+EXP(Models!$C$20*(ChartData!$B29-Models!$E$20+Models!$B$5*ChartData!$B29*Models!$F$20+Models!$B$4*Models!$G$20)))</f>
        <v>89.436025006351343</v>
      </c>
      <c r="Y29" s="158">
        <f>Models!$B$57*EXP(-EXP(Models!$D$57*(ChartData!B29+Models!$C$57+Models!$B$5*Models!$E$57+Models!$B$4*Models!$F$57)))</f>
        <v>95.325364044472323</v>
      </c>
      <c r="Z29" s="165">
        <f>Models!$B$21*Models!$I$21+(100-Models!$B$21*Models!$I$21)/(1+EXP(Models!$C$21*(ChartData!$B29-Models!$E$21+Models!$B$5*ChartData!$B29*Models!$F$21+Models!$B$4*Models!$G$21)))</f>
        <v>90.656039291035555</v>
      </c>
      <c r="AA29" s="165">
        <f>Models!$B$58*EXP(-EXP(Models!$D$58*(ChartData!B29+Models!$C$58+Models!$B$5*Models!$E$58+Models!$B$4*Models!$F$58)))</f>
        <v>95.781345436045711</v>
      </c>
      <c r="AB29" s="146">
        <f>200/(1+EXP(Models!$D$22*((Models!$E$22*Models!$B$4+Models!$B$5)*ChartData!B29)))</f>
        <v>96.860415383485076</v>
      </c>
      <c r="AC29" s="146">
        <f>100*EXP(-EXP(Models!$D$59*(ChartData!B29-Models!$C$59+Models!$E$59*Models!$B$4+Models!$F$59*Models!$B$5)))</f>
        <v>84.478031062931038</v>
      </c>
      <c r="AD29" s="149">
        <f>200/(1+EXP(Models!$D$23*((Models!$E$23*Models!$B$4+Models!$B$5)*ChartData!B29)))</f>
        <v>95.443686460335826</v>
      </c>
      <c r="AE29" s="149">
        <f>100*EXP(-EXP(Models!$D$60*(ChartData!B29-Models!$C$60+Models!$E$60*Models!$B$4+Models!$F$60*Models!$B$5)))</f>
        <v>89.624516061264472</v>
      </c>
      <c r="AF29" s="153">
        <f>200/(1+EXP(Models!$D$24*((Models!$E$24*Models!$B$4+Models!$B$5)*ChartData!B29)))</f>
        <v>94.990988428075198</v>
      </c>
      <c r="AG29" s="153">
        <f>100*EXP(-EXP(Models!$D$61*(ChartData!B29-Models!$C$61+Models!$E$61*Models!$B$4+Models!$F$61*Models!$B$5)))</f>
        <v>90.555870439558319</v>
      </c>
      <c r="AH29" s="266">
        <f>IF('Front Page'!$C$31&gt;0,1-'Front Page'!$C$31,"")</f>
        <v>0.995</v>
      </c>
      <c r="AI29" s="214">
        <f>Models!$B$25*Models!$I$25+(200-Models!$B$25*Models!$I$25)/(1+EXP(Models!$C$25*B29*(Models!$B$4*Models!$F$25+Models!$B$5+Models!$I$25*Models!$G$25)))</f>
        <v>95.726741106426985</v>
      </c>
      <c r="AJ29" s="214">
        <f>100*EXP(-EXP(Models!$D$62*(ChartData!B29-Models!$C$62+Models!$E$62*Models!$B$4+Models!$F$62*Models!$B$5)))</f>
        <v>91.139047147347057</v>
      </c>
      <c r="AK29" s="220">
        <f>Models!$B$26*Models!$I$26+(200-Models!$B$26*Models!$I$26)/(1+EXP(Models!$C$26*B29*(Models!$B$4*Models!$F$26+Models!$B$5+Models!$I$26*Models!$G$26)))</f>
        <v>93.95094979085215</v>
      </c>
      <c r="AL29" s="220">
        <f>100*EXP(-EXP(Models!$D$63*(ChartData!B29-Models!$C$63+Models!$E$63*Models!$B$4+Models!$F$63*Models!$B$5)))</f>
        <v>95.325129030115164</v>
      </c>
      <c r="AM29" s="226">
        <f>Models!$B$27*Models!$I$27+(200-Models!$B$27*Models!$I$27)/(1+EXP(Models!$C$27*B29*(Models!$B$4*Models!$F$27+Models!$B$5+Models!$I$27*Models!$G$27)))</f>
        <v>90.424766041934561</v>
      </c>
      <c r="AN29" s="226">
        <f>100*EXP(-EXP(Models!$D$64*(ChartData!B29-Models!$C$64+Models!$E$64*Models!$B$4+Models!$F$64*Models!$B$5)))</f>
        <v>95.78127652888719</v>
      </c>
      <c r="AO29" s="232">
        <f>Models!$B$28*Models!$I$28+(200-Models!$B$28*Models!$I$28)/(1+EXP(Models!$C$28*B29*(Models!$B$4*Models!$F$28+Models!$B$5+Models!$I$28*Models!$G$28)))</f>
        <v>95.074949396139118</v>
      </c>
      <c r="AP29" s="232">
        <f>100*EXP(-EXP(Models!$D$65*(ChartData!B29-Models!$C$65+Models!$E$65*Models!$B$4+Models!$F$65*Models!$B$5)))</f>
        <v>78.854586060717054</v>
      </c>
      <c r="AQ29" s="238">
        <f>Models!$B$29*Models!$I$29+(200-Models!$B$29*Models!$I$29)/(1+EXP(Models!$C$29*B29*(Models!$B$4*Models!$F$29+Models!$B$5+Models!$I$29*Models!$G$29)))</f>
        <v>92.777074127485051</v>
      </c>
      <c r="AR29" s="238">
        <f>100*EXP(-EXP(Models!$D$66*(ChartData!B29-Models!$C$66+Models!$E$66*Models!$B$4+Models!$F$66*Models!$B$5)))</f>
        <v>93.377937315246669</v>
      </c>
      <c r="AS29" s="244">
        <f>Models!$B$30*Models!$I$30+(200-Models!$B$30*Models!$I$30)/(1+EXP(Models!$C$30*B29*(Models!$B$4*Models!$F$30+Models!$B$5+Models!$I$30*Models!$G$30)))</f>
        <v>95.825422527452744</v>
      </c>
      <c r="AT29" s="244">
        <f>100*EXP(-EXP(Models!$D$67*(ChartData!B29-Models!$C$67+Models!$E$67*Models!$B$4+Models!$F$67*Models!$B$5)))</f>
        <v>87.989584855005319</v>
      </c>
    </row>
    <row r="30" spans="1:46" x14ac:dyDescent="0.2">
      <c r="B30">
        <v>500</v>
      </c>
      <c r="C30">
        <f>1-'Front Page'!$C$30</f>
        <v>0.99630303030303036</v>
      </c>
      <c r="D30" s="45">
        <f t="shared" si="0"/>
        <v>91.977802367141976</v>
      </c>
      <c r="E30" s="45">
        <f t="shared" si="1"/>
        <v>95.073757200848874</v>
      </c>
      <c r="F30" s="36">
        <f>Equations!$E$4/(1+EXP(Equations!$F$4*ChartData!B30*(Equations!$G$4*Equations!$C$4+Equations!$D$4)))</f>
        <v>95.228203236973002</v>
      </c>
      <c r="G30" s="36">
        <f>Equations!$E$7*EXP(-EXP(-Equations!$F$7*(ChartData!B30-Equations!$G$7+Equations!$H$7*Equations!$C$7+Equations!$I$7*Equations!$D$7)))</f>
        <v>94.091916076493789</v>
      </c>
      <c r="H30" s="55">
        <f>Models!$B$13+Models!$C$13*EXP(Models!$D$13*ChartData!B30+(Models!$E$13*ChartData!B30*Models!$E$3))</f>
        <v>86.167887020856256</v>
      </c>
      <c r="I30" s="55">
        <f>Models!$B$50*EXP(-EXP(Models!$D$50*(ChartData!B30+Models!$C$50-(Models!$E$50*Models!$B$5))))</f>
        <v>85.476711847389964</v>
      </c>
      <c r="J30" s="57">
        <f>Models!$B$12/(1+EXP(Models!$D$12*(ChartData!B30-Models!$C$12+Models!$E$12*ChartData!B30*Models!$B$5)))</f>
        <v>2.1381939510071684</v>
      </c>
      <c r="K30" s="61">
        <f>Models!$B$49*EXP(-EXP(Models!$D$49*(ChartData!B30-Models!$C$49+(Models!$E$49*ChartData!B30*Models!$B$5))))</f>
        <v>86.609433640845523</v>
      </c>
      <c r="L30" s="62">
        <f>Models!$B$15/(1+EXP(Models!$D$15*(ChartData!B30*(1+Models!$D$15*Models!$B$5)-Models!$C$15)))</f>
        <v>49.264910189368614</v>
      </c>
      <c r="M30" s="63">
        <f>Models!$B$52*EXP(-EXP(Models!$D$52*(ChartData!B30*(1+Models!$D$52*Models!$B$5)-Models!$C$52)))</f>
        <v>90.284343680074898</v>
      </c>
      <c r="N30" s="53">
        <f>Models!$B$15/(1+EXP(Models!$D$15*(ChartData!B30-Models!$D$15+Models!$E$15*ChartData!B30*Models!$B$5)))</f>
        <v>43.259456624102413</v>
      </c>
      <c r="O30" s="53">
        <f>Models!$B$52*EXP(-EXP(Models!$D$52*(ChartData!B30-Models!$C$52+Models!$E$52*ChartData!B30*Models!$B$5)))</f>
        <v>93.37373757488082</v>
      </c>
      <c r="P30" s="172">
        <f>Models!$B$16*Models!$I$16+(100-Models!$B$16*Models!$I$16)/(1+EXP(Models!$C$16*(ChartData!B30-Models!$E$16+Models!$B$4*Models!$F$16+Models!$B$4*Models!$G$16*Models!$I$16+Models!$B$5*Models!$H$16)))</f>
        <v>96.204108945376205</v>
      </c>
      <c r="Q30" s="172">
        <f>Models!$B$53*EXP(-EXP(Models!$D$53*(ChartData!B30+Models!$C$53+Models!$B$5*Models!$E$53+Models!$B$4*Models!$F$53)))</f>
        <v>93.477297460732913</v>
      </c>
      <c r="R30" s="136">
        <f>Models!$B$17*Models!$I$17+(100-Models!$B$17*Models!$I$17)/(1+EXP(Models!$C$17*(ChartData!B30-Models!$E$17+Models!$B$4*Models!$F$17+Models!$B$4*Models!$G$17*Models!$I$17+Models!$B$5*Models!$H$17)))</f>
        <v>97.403005905709946</v>
      </c>
      <c r="S30" s="136">
        <f>Models!$B$54*EXP(-EXP(Models!$D$54*(ChartData!B30+Models!$C$54+Models!$B$5*Models!$E$54+Models!$B$4*Models!$F$54)))</f>
        <v>82.112684326714358</v>
      </c>
      <c r="T30" s="180">
        <f>Models!$B$18*Models!$I$18+(100-Models!$B$18*Models!$I$18)/(1+EXP(Models!$C$18*(ChartData!B30-Models!$E$18+Models!$B$4*Models!$F$18+Models!$B$4*Models!$G$18*Models!$I$18+Models!$B$5*Models!$H$18)))</f>
        <v>96.075596352607079</v>
      </c>
      <c r="U30" s="180">
        <f>Models!$B$55*EXP(-EXP(Models!$D$55*(ChartData!B30+Models!$C$55+Models!$B$5*Models!$E$55+Models!$B$4*Models!$F$55)))</f>
        <v>95.074045890903207</v>
      </c>
      <c r="V30" s="36">
        <f>Models!$B$19*Models!$I$19+(100-Models!$B$19*Models!$I$19)/(1+EXP(Models!$C$19*(ChartData!$B30-Models!$E$19+Models!$B$5*ChartData!$B30*Models!$F$19+Models!$B$4*Models!$G$19)))</f>
        <v>90.446826595813548</v>
      </c>
      <c r="W30" s="36">
        <f>Models!$B$56*EXP(-EXP(Models!$D$56*(ChartData!B30+Models!$C$56+Models!$B$5*Models!$E$56+Models!$B$4*Models!$F$56)))</f>
        <v>92.237072075936283</v>
      </c>
      <c r="X30" s="158">
        <f>Models!$B$20*Models!$I$20+(100-Models!$B$20*Models!$I$20)/(1+EXP(Models!$C$20*(ChartData!$B30-Models!$E$20+Models!$B$5*ChartData!$B30*Models!$F$20+Models!$B$4*Models!$G$20)))</f>
        <v>88.994082241329423</v>
      </c>
      <c r="Y30" s="158">
        <f>Models!$B$57*EXP(-EXP(Models!$D$57*(ChartData!B30+Models!$C$57+Models!$B$5*Models!$E$57+Models!$B$4*Models!$F$57)))</f>
        <v>96.190171075824622</v>
      </c>
      <c r="Z30" s="165">
        <f>Models!$B$21*Models!$I$21+(100-Models!$B$21*Models!$I$21)/(1+EXP(Models!$C$21*(ChartData!$B30-Models!$E$21+Models!$B$5*ChartData!$B30*Models!$F$21+Models!$B$4*Models!$G$21)))</f>
        <v>90.226779153254938</v>
      </c>
      <c r="AA30" s="165">
        <f>Models!$B$58*EXP(-EXP(Models!$D$58*(ChartData!B30+Models!$C$58+Models!$B$5*Models!$E$58+Models!$B$4*Models!$F$58)))</f>
        <v>96.60225923928256</v>
      </c>
      <c r="AB30" s="146">
        <f>200/(1+EXP(Models!$D$22*((Models!$E$22*Models!$B$4+Models!$B$5)*ChartData!B30)))</f>
        <v>96.511841533496522</v>
      </c>
      <c r="AC30" s="146">
        <f>100*EXP(-EXP(Models!$D$59*(ChartData!B30-Models!$C$59+Models!$E$59*Models!$B$4+Models!$F$59*Models!$B$5)))</f>
        <v>85.802299050720904</v>
      </c>
      <c r="AD30" s="149">
        <f>200/(1+EXP(Models!$D$23*((Models!$E$23*Models!$B$4+Models!$B$5)*ChartData!B30)))</f>
        <v>94.938251342871965</v>
      </c>
      <c r="AE30" s="149">
        <f>100*EXP(-EXP(Models!$D$60*(ChartData!B30-Models!$C$60+Models!$E$60*Models!$B$4+Models!$F$60*Models!$B$5)))</f>
        <v>90.946320138833642</v>
      </c>
      <c r="AF30" s="153">
        <f>200/(1+EXP(Models!$D$24*((Models!$E$24*Models!$B$4+Models!$B$5)*ChartData!B30)))</f>
        <v>94.43552372279791</v>
      </c>
      <c r="AG30" s="153">
        <f>100*EXP(-EXP(Models!$D$61*(ChartData!B30-Models!$C$61+Models!$E$61*Models!$B$4+Models!$F$61*Models!$B$5)))</f>
        <v>91.84901288138478</v>
      </c>
      <c r="AH30" s="266">
        <f>IF('Front Page'!$C$31&gt;0,1-'Front Page'!$C$31,"")</f>
        <v>0.995</v>
      </c>
      <c r="AI30" s="214">
        <f>Models!$B$25*Models!$I$25+(200-Models!$B$25*Models!$I$25)/(1+EXP(Models!$C$25*B30*(Models!$B$4*Models!$F$25+Models!$B$5+Models!$I$25*Models!$G$25)))</f>
        <v>95.25261262047394</v>
      </c>
      <c r="AJ30" s="214">
        <f>100*EXP(-EXP(Models!$D$62*(ChartData!B30-Models!$C$62+Models!$E$62*Models!$B$4+Models!$F$62*Models!$B$5)))</f>
        <v>92.236989919599139</v>
      </c>
      <c r="AK30" s="220">
        <f>Models!$B$26*Models!$I$26+(200-Models!$B$26*Models!$I$26)/(1+EXP(Models!$C$26*B30*(Models!$B$4*Models!$F$26+Models!$B$5+Models!$I$26*Models!$G$26)))</f>
        <v>93.280756792239131</v>
      </c>
      <c r="AL30" s="220">
        <f>100*EXP(-EXP(Models!$D$63*(ChartData!B30-Models!$C$63+Models!$E$63*Models!$B$4+Models!$F$63*Models!$B$5)))</f>
        <v>96.189959983358634</v>
      </c>
      <c r="AM30" s="226">
        <f>Models!$B$27*Models!$I$27+(200-Models!$B$27*Models!$I$27)/(1+EXP(Models!$C$27*B30*(Models!$B$4*Models!$F$27+Models!$B$5+Models!$I$27*Models!$G$27)))</f>
        <v>88.549291523158232</v>
      </c>
      <c r="AN30" s="226">
        <f>100*EXP(-EXP(Models!$D$64*(ChartData!B30-Models!$C$64+Models!$E$64*Models!$B$4+Models!$F$64*Models!$B$5)))</f>
        <v>96.602203501996726</v>
      </c>
      <c r="AO30" s="232">
        <f>Models!$B$28*Models!$I$28+(200-Models!$B$28*Models!$I$28)/(1+EXP(Models!$C$28*B30*(Models!$B$4*Models!$F$28+Models!$B$5+Models!$I$28*Models!$G$28)))</f>
        <v>94.528759674411376</v>
      </c>
      <c r="AP30" s="232">
        <f>100*EXP(-EXP(Models!$D$65*(ChartData!B30-Models!$C$65+Models!$E$65*Models!$B$4+Models!$F$65*Models!$B$5)))</f>
        <v>82.115725143632829</v>
      </c>
      <c r="AQ30" s="238">
        <f>Models!$B$29*Models!$I$29+(200-Models!$B$29*Models!$I$29)/(1+EXP(Models!$C$29*B30*(Models!$B$4*Models!$F$29+Models!$B$5+Models!$I$29*Models!$G$29)))</f>
        <v>91.977802367141976</v>
      </c>
      <c r="AR30" s="238">
        <f>100*EXP(-EXP(Models!$D$66*(ChartData!B30-Models!$C$66+Models!$E$66*Models!$B$4+Models!$F$66*Models!$B$5)))</f>
        <v>95.073757200848874</v>
      </c>
      <c r="AS30" s="244">
        <f>Models!$B$30*Models!$I$30+(200-Models!$B$30*Models!$I$30)/(1+EXP(Models!$C$30*B30*(Models!$B$4*Models!$F$30+Models!$B$5+Models!$I$30*Models!$G$30)))</f>
        <v>94.833627244242351</v>
      </c>
      <c r="AT30" s="244">
        <f>100*EXP(-EXP(Models!$D$67*(ChartData!B30-Models!$C$67+Models!$E$67*Models!$B$4+Models!$F$67*Models!$B$5)))</f>
        <v>90.490182937649607</v>
      </c>
    </row>
    <row r="31" spans="1:46" x14ac:dyDescent="0.2">
      <c r="A31" s="137" t="s">
        <v>300</v>
      </c>
      <c r="B31">
        <v>550</v>
      </c>
      <c r="C31">
        <f>1-'Front Page'!$C$30</f>
        <v>0.99630303030303036</v>
      </c>
      <c r="D31" s="45">
        <f t="shared" si="0"/>
        <v>91.179560888710881</v>
      </c>
      <c r="E31" s="45">
        <f t="shared" si="1"/>
        <v>96.343804531754017</v>
      </c>
      <c r="F31" s="36">
        <f>Equations!$E$4/(1+EXP(Equations!$F$4*ChartData!B31*(Equations!$G$4*Equations!$C$4+Equations!$D$4)))</f>
        <v>94.751860417875434</v>
      </c>
      <c r="G31" s="36">
        <f>Equations!$E$7*EXP(-EXP(-Equations!$F$7*(ChartData!B31-Equations!$G$7+Equations!$H$7*Equations!$C$7+Equations!$I$7*Equations!$D$7)))</f>
        <v>94.981126244925989</v>
      </c>
      <c r="H31" s="55">
        <f>Models!$B$13+Models!$C$13*EXP(Models!$D$13*ChartData!B31+(Models!$E$13*ChartData!B31*Models!$E$3))</f>
        <v>84.921666015671661</v>
      </c>
      <c r="I31" s="55">
        <f>Models!$B$50*EXP(-EXP(Models!$D$50*(ChartData!B31+Models!$C$50-(Models!$E$50*Models!$B$5))))</f>
        <v>86.928112850087842</v>
      </c>
      <c r="J31" s="57">
        <f>Models!$B$12/(1+EXP(Models!$D$12*(ChartData!B31-Models!$C$12+Models!$E$12*ChartData!B31*Models!$B$5)))</f>
        <v>0.34864711688929684</v>
      </c>
      <c r="K31" s="61">
        <f>Models!$B$49*EXP(-EXP(Models!$D$49*(ChartData!B31-Models!$C$49+(Models!$E$49*ChartData!B31*Models!$B$5))))</f>
        <v>90.37123323281287</v>
      </c>
      <c r="L31" s="62">
        <f>Models!$B$15/(1+EXP(Models!$D$15*(ChartData!B31*(1+Models!$D$15*Models!$B$5)-Models!$C$15)))</f>
        <v>45.12196321743798</v>
      </c>
      <c r="M31" s="63">
        <f>Models!$B$52*EXP(-EXP(Models!$D$52*(ChartData!B31*(1+Models!$D$52*Models!$B$5)-Models!$C$52)))</f>
        <v>93.269413542049833</v>
      </c>
      <c r="N31" s="53">
        <f>Models!$B$15/(1+EXP(Models!$D$15*(ChartData!B31-Models!$D$15+Models!$E$15*ChartData!B31*Models!$B$5)))</f>
        <v>39.054298469417887</v>
      </c>
      <c r="O31" s="53">
        <f>Models!$B$52*EXP(-EXP(Models!$D$52*(ChartData!B31-Models!$C$52+Models!$E$52*ChartData!B31*Models!$B$5)))</f>
        <v>95.608292198124829</v>
      </c>
      <c r="P31" s="172">
        <f>Models!$B$16*Models!$I$16+(100-Models!$B$16*Models!$I$16)/(1+EXP(Models!$C$16*(ChartData!B31-Models!$E$16+Models!$B$4*Models!$F$16+Models!$B$4*Models!$G$16*Models!$I$16+Models!$B$5*Models!$H$16)))</f>
        <v>95.762926849410974</v>
      </c>
      <c r="Q31" s="172">
        <f>Models!$B$53*EXP(-EXP(Models!$D$53*(ChartData!B31+Models!$C$53+Models!$B$5*Models!$E$53+Models!$B$4*Models!$F$53)))</f>
        <v>95.031866306936081</v>
      </c>
      <c r="R31" s="136">
        <f>Models!$B$17*Models!$I$17+(100-Models!$B$17*Models!$I$17)/(1+EXP(Models!$C$17*(ChartData!B31-Models!$E$17+Models!$B$4*Models!$F$17+Models!$B$4*Models!$G$17*Models!$I$17+Models!$B$5*Models!$H$17)))</f>
        <v>97.16309534149309</v>
      </c>
      <c r="S31" s="136">
        <f>Models!$B$54*EXP(-EXP(Models!$D$54*(ChartData!B31+Models!$C$54+Models!$B$5*Models!$E$54+Models!$B$4*Models!$F$54)))</f>
        <v>84.920051232954663</v>
      </c>
      <c r="T31" s="180">
        <f>Models!$B$18*Models!$I$18+(100-Models!$B$18*Models!$I$18)/(1+EXP(Models!$C$18*(ChartData!B31-Models!$E$18+Models!$B$4*Models!$F$18+Models!$B$4*Models!$G$18*Models!$I$18+Models!$B$5*Models!$H$18)))</f>
        <v>95.534213068334225</v>
      </c>
      <c r="U31" s="180">
        <f>Models!$B$55*EXP(-EXP(Models!$D$55*(ChartData!B31+Models!$C$55+Models!$B$5*Models!$E$55+Models!$B$4*Models!$F$55)))</f>
        <v>96.344038172183559</v>
      </c>
      <c r="V31" s="36">
        <f>Models!$B$19*Models!$I$19+(100-Models!$B$19*Models!$I$19)/(1+EXP(Models!$C$19*(ChartData!$B31-Models!$E$19+Models!$B$5*ChartData!$B31*Models!$F$19+Models!$B$4*Models!$G$19)))</f>
        <v>90.174217562126529</v>
      </c>
      <c r="W31" s="36">
        <f>Models!$B$56*EXP(-EXP(Models!$D$56*(ChartData!B31+Models!$C$56+Models!$B$5*Models!$E$56+Models!$B$4*Models!$F$56)))</f>
        <v>93.204072587325768</v>
      </c>
      <c r="X31" s="158">
        <f>Models!$B$20*Models!$I$20+(100-Models!$B$20*Models!$I$20)/(1+EXP(Models!$C$20*(ChartData!$B31-Models!$E$20+Models!$B$5*ChartData!$B31*Models!$F$20+Models!$B$4*Models!$G$20)))</f>
        <v>88.536020734723394</v>
      </c>
      <c r="Y31" s="158">
        <f>Models!$B$57*EXP(-EXP(Models!$D$57*(ChartData!B31+Models!$C$57+Models!$B$5*Models!$E$57+Models!$B$4*Models!$F$57)))</f>
        <v>96.89759821410388</v>
      </c>
      <c r="Z31" s="165">
        <f>Models!$B$21*Models!$I$21+(100-Models!$B$21*Models!$I$21)/(1+EXP(Models!$C$21*(ChartData!$B31-Models!$E$21+Models!$B$5*ChartData!$B31*Models!$F$21+Models!$B$4*Models!$G$21)))</f>
        <v>89.780393457836936</v>
      </c>
      <c r="AA31" s="165">
        <f>Models!$B$58*EXP(-EXP(Models!$D$58*(ChartData!B31+Models!$C$58+Models!$B$5*Models!$E$58+Models!$B$4*Models!$F$58)))</f>
        <v>97.265714444755702</v>
      </c>
      <c r="AB31" s="146">
        <f>200/(1+EXP(Models!$D$22*((Models!$E$22*Models!$B$4+Models!$B$5)*ChartData!B31)))</f>
        <v>96.163352530963238</v>
      </c>
      <c r="AC31" s="146">
        <f>100*EXP(-EXP(Models!$D$59*(ChartData!B31-Models!$C$59+Models!$E$59*Models!$B$4+Models!$F$59*Models!$B$5)))</f>
        <v>87.022420264761024</v>
      </c>
      <c r="AD31" s="149">
        <f>200/(1+EXP(Models!$D$23*((Models!$E$23*Models!$B$4+Models!$B$5)*ChartData!B31)))</f>
        <v>94.433075376362808</v>
      </c>
      <c r="AE31" s="149">
        <f>100*EXP(-EXP(Models!$D$60*(ChartData!B31-Models!$C$60+Models!$E$60*Models!$B$4+Models!$F$60*Models!$B$5)))</f>
        <v>92.107210737258526</v>
      </c>
      <c r="AF31" s="153">
        <f>200/(1+EXP(Models!$D$24*((Models!$E$24*Models!$B$4+Models!$B$5)*ChartData!B31)))</f>
        <v>93.880403244430141</v>
      </c>
      <c r="AG31" s="153">
        <f>100*EXP(-EXP(Models!$D$61*(ChartData!B31-Models!$C$61+Models!$E$61*Models!$B$4+Models!$F$61*Models!$B$5)))</f>
        <v>92.972013002611916</v>
      </c>
      <c r="AH31" s="266">
        <f>IF('Front Page'!$C$31&gt;0,1-'Front Page'!$C$31,"")</f>
        <v>0.995</v>
      </c>
      <c r="AI31" s="214">
        <f>Models!$B$25*Models!$I$25+(200-Models!$B$25*Models!$I$25)/(1+EXP(Models!$C$25*B31*(Models!$B$4*Models!$F$25+Models!$B$5+Models!$I$25*Models!$G$25)))</f>
        <v>94.778697960644294</v>
      </c>
      <c r="AJ31" s="214">
        <f>100*EXP(-EXP(Models!$D$62*(ChartData!B31-Models!$C$62+Models!$E$62*Models!$B$4+Models!$F$62*Models!$B$5)))</f>
        <v>93.204000284130331</v>
      </c>
      <c r="AK31" s="220">
        <f>Models!$B$26*Models!$I$26+(200-Models!$B$26*Models!$I$26)/(1+EXP(Models!$C$26*B31*(Models!$B$4*Models!$F$26+Models!$B$5+Models!$I$26*Models!$G$26)))</f>
        <v>92.611169584314624</v>
      </c>
      <c r="AL31" s="220">
        <f>100*EXP(-EXP(Models!$D$63*(ChartData!B31-Models!$C$63+Models!$E$63*Models!$B$4+Models!$F$63*Models!$B$5)))</f>
        <v>96.897410413874169</v>
      </c>
      <c r="AM31" s="226">
        <f>Models!$B$27*Models!$I$27+(200-Models!$B$27*Models!$I$27)/(1+EXP(Models!$C$27*B31*(Models!$B$4*Models!$F$27+Models!$B$5+Models!$I$27*Models!$G$27)))</f>
        <v>86.690310628808376</v>
      </c>
      <c r="AN31" s="226">
        <f>100*EXP(-EXP(Models!$D$64*(ChartData!B31-Models!$C$64+Models!$E$64*Models!$B$4+Models!$F$64*Models!$B$5)))</f>
        <v>97.265669436370345</v>
      </c>
      <c r="AO31" s="232">
        <f>Models!$B$28*Models!$I$28+(200-Models!$B$28*Models!$I$28)/(1+EXP(Models!$C$28*B31*(Models!$B$4*Models!$F$28+Models!$B$5+Models!$I$28*Models!$G$28)))</f>
        <v>93.98289717623696</v>
      </c>
      <c r="AP31" s="232">
        <f>100*EXP(-EXP(Models!$D$65*(ChartData!B31-Models!$C$65+Models!$E$65*Models!$B$4+Models!$F$65*Models!$B$5)))</f>
        <v>84.922659564549292</v>
      </c>
      <c r="AQ31" s="238">
        <f>Models!$B$29*Models!$I$29+(200-Models!$B$29*Models!$I$29)/(1+EXP(Models!$C$29*B31*(Models!$B$4*Models!$F$29+Models!$B$5+Models!$I$29*Models!$G$29)))</f>
        <v>91.179560888710881</v>
      </c>
      <c r="AR31" s="238">
        <f>100*EXP(-EXP(Models!$D$66*(ChartData!B31-Models!$C$66+Models!$E$66*Models!$B$4+Models!$F$66*Models!$B$5)))</f>
        <v>96.343804531754017</v>
      </c>
      <c r="AS31" s="244">
        <f>Models!$B$30*Models!$I$30+(200-Models!$B$30*Models!$I$30)/(1+EXP(Models!$C$30*B31*(Models!$B$4*Models!$F$30+Models!$B$5+Models!$I$30*Models!$G$30)))</f>
        <v>93.844018384714133</v>
      </c>
      <c r="AT31" s="244">
        <f>100*EXP(-EXP(Models!$D$67*(ChartData!B31-Models!$C$67+Models!$E$67*Models!$B$4+Models!$F$67*Models!$B$5)))</f>
        <v>92.492442686573611</v>
      </c>
    </row>
    <row r="32" spans="1:46" x14ac:dyDescent="0.2">
      <c r="A32" s="137" t="str">
        <f>IF($A$11="12",A37,IF($A$11="15.5",A42,A47))</f>
        <v>Large broadleaf 15.5</v>
      </c>
      <c r="B32">
        <v>600</v>
      </c>
      <c r="C32">
        <f>1-'Front Page'!$C$30</f>
        <v>0.99630303030303036</v>
      </c>
      <c r="D32" s="45">
        <f t="shared" si="0"/>
        <v>90.38245067669898</v>
      </c>
      <c r="E32" s="45">
        <f t="shared" si="1"/>
        <v>97.291083166572577</v>
      </c>
      <c r="F32" s="36">
        <f>Equations!$E$4/(1+EXP(Equations!$F$4*ChartData!B32*(Equations!$G$4*Equations!$C$4+Equations!$D$4)))</f>
        <v>94.275756300064259</v>
      </c>
      <c r="G32" s="36">
        <f>Equations!$E$7*EXP(-EXP(-Equations!$F$7*(ChartData!B32-Equations!$G$7+Equations!$H$7*Equations!$C$7+Equations!$I$7*Equations!$D$7)))</f>
        <v>95.739546168381338</v>
      </c>
      <c r="H32" s="55">
        <f>Models!$B$13+Models!$C$13*EXP(Models!$D$13*ChartData!B32+(Models!$E$13*ChartData!B32*Models!$E$3))</f>
        <v>83.698532799661763</v>
      </c>
      <c r="I32" s="55">
        <f>Models!$B$50*EXP(-EXP(Models!$D$50*(ChartData!B32+Models!$C$50-(Models!$E$50*Models!$B$5))))</f>
        <v>88.244592348652176</v>
      </c>
      <c r="J32" s="57">
        <f>Models!$B$12/(1+EXP(Models!$D$12*(ChartData!B32-Models!$C$12+Models!$E$12*ChartData!B32*Models!$B$5)))</f>
        <v>5.6141861837779049E-2</v>
      </c>
      <c r="K32" s="61">
        <f>Models!$B$49*EXP(-EXP(Models!$D$49*(ChartData!B32-Models!$C$49+(Models!$E$49*ChartData!B32*Models!$B$5))))</f>
        <v>93.118123720351491</v>
      </c>
      <c r="L32" s="62">
        <f>Models!$B$15/(1+EXP(Models!$D$15*(ChartData!B32*(1+Models!$D$15*Models!$B$5)-Models!$C$15)))</f>
        <v>41.232116511298052</v>
      </c>
      <c r="M32" s="63">
        <f>Models!$B$52*EXP(-EXP(Models!$D$52*(ChartData!B32*(1+Models!$D$52*Models!$B$5)-Models!$C$52)))</f>
        <v>95.36083508074978</v>
      </c>
      <c r="N32" s="53">
        <f>Models!$B$15/(1+EXP(Models!$D$15*(ChartData!B32-Models!$D$15+Models!$E$15*ChartData!B32*Models!$B$5)))</f>
        <v>35.166202307279548</v>
      </c>
      <c r="O32" s="53">
        <f>Models!$B$52*EXP(-EXP(Models!$D$52*(ChartData!B32-Models!$C$52+Models!$E$52*ChartData!B32*Models!$B$5)))</f>
        <v>97.100957841008977</v>
      </c>
      <c r="P32" s="172">
        <f>Models!$B$16*Models!$I$16+(100-Models!$B$16*Models!$I$16)/(1+EXP(Models!$C$16*(ChartData!B32-Models!$E$16+Models!$B$4*Models!$F$16+Models!$B$4*Models!$G$16*Models!$I$16+Models!$B$5*Models!$H$16)))</f>
        <v>95.272987327598614</v>
      </c>
      <c r="Q32" s="172">
        <f>Models!$B$53*EXP(-EXP(Models!$D$53*(ChartData!B32+Models!$C$53+Models!$B$5*Models!$E$53+Models!$B$4*Models!$F$53)))</f>
        <v>96.22342285642965</v>
      </c>
      <c r="R32" s="136">
        <f>Models!$B$17*Models!$I$17+(100-Models!$B$17*Models!$I$17)/(1+EXP(Models!$C$17*(ChartData!B32-Models!$E$17+Models!$B$4*Models!$F$17+Models!$B$4*Models!$G$17*Models!$I$17+Models!$B$5*Models!$H$17)))</f>
        <v>96.901726793579797</v>
      </c>
      <c r="S32" s="136">
        <f>Models!$B$54*EXP(-EXP(Models!$D$54*(ChartData!B32+Models!$C$54+Models!$B$5*Models!$E$54+Models!$B$4*Models!$F$54)))</f>
        <v>87.321213183552089</v>
      </c>
      <c r="T32" s="180">
        <f>Models!$B$18*Models!$I$18+(100-Models!$B$18*Models!$I$18)/(1+EXP(Models!$C$18*(ChartData!B32-Models!$E$18+Models!$B$4*Models!$F$18+Models!$B$4*Models!$G$18*Models!$I$18+Models!$B$5*Models!$H$18)))</f>
        <v>94.922459114324184</v>
      </c>
      <c r="U32" s="180">
        <f>Models!$B$55*EXP(-EXP(Models!$D$55*(ChartData!B32+Models!$C$55+Models!$B$5*Models!$E$55+Models!$B$4*Models!$F$55)))</f>
        <v>97.291270485465503</v>
      </c>
      <c r="V32" s="36">
        <f>Models!$B$19*Models!$I$19+(100-Models!$B$19*Models!$I$19)/(1+EXP(Models!$C$19*(ChartData!$B32-Models!$E$19+Models!$B$5*ChartData!$B32*Models!$F$19+Models!$B$4*Models!$G$19)))</f>
        <v>89.894698504317148</v>
      </c>
      <c r="W32" s="36">
        <f>Models!$B$56*EXP(-EXP(Models!$D$56*(ChartData!B32+Models!$C$56+Models!$B$5*Models!$E$56+Models!$B$4*Models!$F$56)))</f>
        <v>94.054525631336048</v>
      </c>
      <c r="X32" s="158">
        <f>Models!$B$20*Models!$I$20+(100-Models!$B$20*Models!$I$20)/(1+EXP(Models!$C$20*(ChartData!$B32-Models!$E$20+Models!$B$5*ChartData!$B32*Models!$F$20+Models!$B$4*Models!$G$20)))</f>
        <v>88.061452384365396</v>
      </c>
      <c r="Y32" s="158">
        <f>Models!$B$57*EXP(-EXP(Models!$D$57*(ChartData!B32+Models!$C$57+Models!$B$5*Models!$E$57+Models!$B$4*Models!$F$57)))</f>
        <v>97.47539387161649</v>
      </c>
      <c r="Z32" s="165">
        <f>Models!$B$21*Models!$I$21+(100-Models!$B$21*Models!$I$21)/(1+EXP(Models!$C$21*(ChartData!$B32-Models!$E$21+Models!$B$5*ChartData!$B32*Models!$F$21+Models!$B$4*Models!$G$21)))</f>
        <v>89.316439251509237</v>
      </c>
      <c r="AA32" s="165">
        <f>Models!$B$58*EXP(-EXP(Models!$D$58*(ChartData!B32+Models!$C$58+Models!$B$5*Models!$E$58+Models!$B$4*Models!$F$58)))</f>
        <v>97.801097497825012</v>
      </c>
      <c r="AB32" s="146">
        <f>200/(1+EXP(Models!$D$22*((Models!$E$22*Models!$B$4+Models!$B$5)*ChartData!B32)))</f>
        <v>95.814956828829651</v>
      </c>
      <c r="AC32" s="146">
        <f>100*EXP(-EXP(Models!$D$59*(ChartData!B32-Models!$C$59+Models!$E$59*Models!$B$4+Models!$F$59*Models!$B$5)))</f>
        <v>88.145048658723042</v>
      </c>
      <c r="AD32" s="149">
        <f>200/(1+EXP(Models!$D$23*((Models!$E$23*Models!$B$4+Models!$B$5)*ChartData!B32)))</f>
        <v>93.92818427133858</v>
      </c>
      <c r="AE32" s="149">
        <f>100*EXP(-EXP(Models!$D$60*(ChartData!B32-Models!$C$60+Models!$E$60*Models!$B$4+Models!$F$60*Models!$B$5)))</f>
        <v>93.124917648239972</v>
      </c>
      <c r="AF32" s="153">
        <f>200/(1+EXP(Models!$D$24*((Models!$E$24*Models!$B$4+Models!$B$5)*ChartData!B32)))</f>
        <v>93.325661087266823</v>
      </c>
      <c r="AG32" s="153">
        <f>100*EXP(-EXP(Models!$D$61*(ChartData!B32-Models!$C$61+Models!$E$61*Models!$B$4+Models!$F$61*Models!$B$5)))</f>
        <v>93.94542401060049</v>
      </c>
      <c r="AH32" s="266">
        <f>IF('Front Page'!$C$31&gt;0,1-'Front Page'!$C$31,"")</f>
        <v>0.995</v>
      </c>
      <c r="AI32" s="214">
        <f>Models!$B$25*Models!$I$25+(200-Models!$B$25*Models!$I$25)/(1+EXP(Models!$C$25*B32*(Models!$B$4*Models!$F$25+Models!$B$5+Models!$I$25*Models!$G$25)))</f>
        <v>94.305018361082531</v>
      </c>
      <c r="AJ32" s="214">
        <f>100*EXP(-EXP(Models!$D$62*(ChartData!B32-Models!$C$62+Models!$E$62*Models!$B$4+Models!$F$62*Models!$B$5)))</f>
        <v>94.054462085172219</v>
      </c>
      <c r="AK32" s="220">
        <f>Models!$B$26*Models!$I$26+(200-Models!$B$26*Models!$I$26)/(1+EXP(Models!$C$26*B32*(Models!$B$4*Models!$F$26+Models!$B$5+Models!$I$26*Models!$G$26)))</f>
        <v>91.942247903320606</v>
      </c>
      <c r="AL32" s="220">
        <f>100*EXP(-EXP(Models!$D$63*(ChartData!B32-Models!$C$63+Models!$E$63*Models!$B$4+Models!$F$63*Models!$B$5)))</f>
        <v>97.475228127296475</v>
      </c>
      <c r="AM32" s="226">
        <f>Models!$B$27*Models!$I$27+(200-Models!$B$27*Models!$I$27)/(1+EXP(Models!$C$27*B32*(Models!$B$4*Models!$F$27+Models!$B$5+Models!$I$27*Models!$G$27)))</f>
        <v>84.849250478008202</v>
      </c>
      <c r="AN32" s="226">
        <f>100*EXP(-EXP(Models!$D$64*(ChartData!B32-Models!$C$64+Models!$E$64*Models!$B$4+Models!$F$64*Models!$B$5)))</f>
        <v>97.801061202349189</v>
      </c>
      <c r="AO32" s="232">
        <f>Models!$B$28*Models!$I$28+(200-Models!$B$28*Models!$I$28)/(1+EXP(Models!$C$28*B32*(Models!$B$4*Models!$F$28+Models!$B$5+Models!$I$28*Models!$G$28)))</f>
        <v>93.43739432217383</v>
      </c>
      <c r="AP32" s="232">
        <f>100*EXP(-EXP(Models!$D$65*(ChartData!B32-Models!$C$65+Models!$E$65*Models!$B$4+Models!$F$65*Models!$B$5)))</f>
        <v>87.323437748453244</v>
      </c>
      <c r="AQ32" s="238">
        <f>Models!$B$29*Models!$I$29+(200-Models!$B$29*Models!$I$29)/(1+EXP(Models!$C$29*B32*(Models!$B$4*Models!$F$29+Models!$B$5+Models!$I$29*Models!$G$29)))</f>
        <v>90.38245067669898</v>
      </c>
      <c r="AR32" s="238">
        <f>100*EXP(-EXP(Models!$D$66*(ChartData!B32-Models!$C$66+Models!$E$66*Models!$B$4+Models!$F$66*Models!$B$5)))</f>
        <v>97.291083166572577</v>
      </c>
      <c r="AS32" s="244">
        <f>Models!$B$30*Models!$I$30+(200-Models!$B$30*Models!$I$30)/(1+EXP(Models!$C$30*B32*(Models!$B$4*Models!$F$30+Models!$B$5+Models!$I$30*Models!$G$30)))</f>
        <v>92.8568071779262</v>
      </c>
      <c r="AT32" s="244">
        <f>100*EXP(-EXP(Models!$D$67*(ChartData!B32-Models!$C$67+Models!$E$67*Models!$B$4+Models!$F$67*Models!$B$5)))</f>
        <v>94.086946512692947</v>
      </c>
    </row>
    <row r="33" spans="1:46" x14ac:dyDescent="0.2">
      <c r="A33" s="137" t="str">
        <f t="shared" ref="A33:A34" si="2">IF($A$11="12",A38,IF($A$11="15.5",A43,A48))</f>
        <v>Small broadleaf 15.5</v>
      </c>
      <c r="B33">
        <v>650</v>
      </c>
      <c r="C33">
        <f>1-'Front Page'!$C$30</f>
        <v>0.99630303030303036</v>
      </c>
      <c r="D33" s="45">
        <f t="shared" si="0"/>
        <v>89.586572137580802</v>
      </c>
      <c r="E33" s="45">
        <f t="shared" si="1"/>
        <v>97.995486156985805</v>
      </c>
      <c r="F33" s="36">
        <f>Equations!$E$4/(1+EXP(Equations!$F$4*ChartData!B33*(Equations!$G$4*Equations!$C$4+Equations!$D$4)))</f>
        <v>93.799912401814581</v>
      </c>
      <c r="G33" s="36">
        <f>Equations!$E$7*EXP(-EXP(-Equations!$F$7*(ChartData!B33-Equations!$G$7+Equations!$H$7*Equations!$C$7+Equations!$I$7*Equations!$D$7)))</f>
        <v>96.385546811827155</v>
      </c>
      <c r="H33" s="55">
        <f>Models!$B$13+Models!$C$13*EXP(Models!$D$13*ChartData!B33+(Models!$E$13*ChartData!B33*Models!$E$3))</f>
        <v>82.498059642908032</v>
      </c>
      <c r="I33" s="55">
        <f>Models!$B$50*EXP(-EXP(Models!$D$50*(ChartData!B33+Models!$C$50-(Models!$E$50*Models!$B$5))))</f>
        <v>89.436653378689314</v>
      </c>
      <c r="J33" s="57">
        <f>Models!$B$12/(1+EXP(Models!$D$12*(ChartData!B33-Models!$C$12+Models!$E$12*ChartData!B33*Models!$B$5)))</f>
        <v>9.0220470989330111E-3</v>
      </c>
      <c r="K33" s="61">
        <f>Models!$B$49*EXP(-EXP(Models!$D$49*(ChartData!B33-Models!$C$49+(Models!$E$49*ChartData!B33*Models!$B$5))))</f>
        <v>95.102581600666753</v>
      </c>
      <c r="L33" s="62">
        <f>Models!$B$15/(1+EXP(Models!$D$15*(ChartData!B33*(1+Models!$D$15*Models!$B$5)-Models!$C$15)))</f>
        <v>37.596202079542493</v>
      </c>
      <c r="M33" s="63">
        <f>Models!$B$52*EXP(-EXP(Models!$D$52*(ChartData!B33*(1+Models!$D$52*Models!$B$5)-Models!$C$52)))</f>
        <v>96.8134603215087</v>
      </c>
      <c r="N33" s="53">
        <f>Models!$B$15/(1+EXP(Models!$D$15*(ChartData!B33-Models!$D$15+Models!$E$15*ChartData!B33*Models!$B$5)))</f>
        <v>31.589216151083598</v>
      </c>
      <c r="O33" s="53">
        <f>Models!$B$52*EXP(-EXP(Models!$D$52*(ChartData!B33-Models!$C$52+Models!$E$52*ChartData!B33*Models!$B$5)))</f>
        <v>98.091346317354621</v>
      </c>
      <c r="P33" s="172">
        <f>Models!$B$16*Models!$I$16+(100-Models!$B$16*Models!$I$16)/(1+EXP(Models!$C$16*(ChartData!B33-Models!$E$16+Models!$B$4*Models!$F$16+Models!$B$4*Models!$G$16*Models!$I$16+Models!$B$5*Models!$H$16)))</f>
        <v>94.729513290593147</v>
      </c>
      <c r="Q33" s="172">
        <f>Models!$B$53*EXP(-EXP(Models!$D$53*(ChartData!B33+Models!$C$53+Models!$B$5*Models!$E$53+Models!$B$4*Models!$F$53)))</f>
        <v>97.133509724694704</v>
      </c>
      <c r="R33" s="136">
        <f>Models!$B$17*Models!$I$17+(100-Models!$B$17*Models!$I$17)/(1+EXP(Models!$C$17*(ChartData!B33-Models!$E$17+Models!$B$4*Models!$F$17+Models!$B$4*Models!$G$17*Models!$I$17+Models!$B$5*Models!$H$17)))</f>
        <v>96.617116337728277</v>
      </c>
      <c r="S33" s="136">
        <f>Models!$B$54*EXP(-EXP(Models!$D$54*(ChartData!B33+Models!$C$54+Models!$B$5*Models!$E$54+Models!$B$4*Models!$F$54)))</f>
        <v>89.364209819705096</v>
      </c>
      <c r="T33" s="180">
        <f>Models!$B$18*Models!$I$18+(100-Models!$B$18*Models!$I$18)/(1+EXP(Models!$C$18*(ChartData!B33-Models!$E$18+Models!$B$4*Models!$F$18+Models!$B$4*Models!$G$18*Models!$I$18+Models!$B$5*Models!$H$18)))</f>
        <v>94.232436443576702</v>
      </c>
      <c r="U33" s="180">
        <f>Models!$B$55*EXP(-EXP(Models!$D$55*(ChartData!B33+Models!$C$55+Models!$B$5*Models!$E$55+Models!$B$4*Models!$F$55)))</f>
        <v>97.995635190683814</v>
      </c>
      <c r="V33" s="36">
        <f>Models!$B$19*Models!$I$19+(100-Models!$B$19*Models!$I$19)/(1+EXP(Models!$C$19*(ChartData!$B33-Models!$E$19+Models!$B$5*ChartData!$B33*Models!$F$19+Models!$B$4*Models!$G$19)))</f>
        <v>89.608144185580969</v>
      </c>
      <c r="W33" s="36">
        <f>Models!$B$56*EXP(-EXP(Models!$D$56*(ChartData!B33+Models!$C$56+Models!$B$5*Models!$E$56+Models!$B$4*Models!$F$56)))</f>
        <v>94.801537051243017</v>
      </c>
      <c r="X33" s="158">
        <f>Models!$B$20*Models!$I$20+(100-Models!$B$20*Models!$I$20)/(1+EXP(Models!$C$20*(ChartData!$B33-Models!$E$20+Models!$B$5*ChartData!$B33*Models!$F$20+Models!$B$4*Models!$G$20)))</f>
        <v>87.569996697869996</v>
      </c>
      <c r="Y33" s="158">
        <f>Models!$B$57*EXP(-EXP(Models!$D$57*(ChartData!B33+Models!$C$57+Models!$B$5*Models!$E$57+Models!$B$4*Models!$F$57)))</f>
        <v>97.946721871122222</v>
      </c>
      <c r="Z33" s="165">
        <f>Models!$B$21*Models!$I$21+(100-Models!$B$21*Models!$I$21)/(1+EXP(Models!$C$21*(ChartData!$B33-Models!$E$21+Models!$B$5*ChartData!$B33*Models!$F$21+Models!$B$4*Models!$G$21)))</f>
        <v>88.834484511948233</v>
      </c>
      <c r="AA33" s="165">
        <f>Models!$B$58*EXP(-EXP(Models!$D$58*(ChartData!B33+Models!$C$58+Models!$B$5*Models!$E$58+Models!$B$4*Models!$F$58)))</f>
        <v>98.232604112483557</v>
      </c>
      <c r="AB33" s="146">
        <f>200/(1+EXP(Models!$D$22*((Models!$E$22*Models!$B$4+Models!$B$5)*ChartData!B33)))</f>
        <v>95.466662870971419</v>
      </c>
      <c r="AC33" s="146">
        <f>100*EXP(-EXP(Models!$D$59*(ChartData!B33-Models!$C$59+Models!$E$59*Models!$B$4+Models!$F$59*Models!$B$5)))</f>
        <v>89.17669247918343</v>
      </c>
      <c r="AD33" s="149">
        <f>200/(1+EXP(Models!$D$23*((Models!$E$23*Models!$B$4+Models!$B$5)*ChartData!B33)))</f>
        <v>93.423603680116571</v>
      </c>
      <c r="AE33" s="149">
        <f>100*EXP(-EXP(Models!$D$60*(ChartData!B33-Models!$C$60+Models!$E$60*Models!$B$4+Models!$F$60*Models!$B$5)))</f>
        <v>94.015691183103428</v>
      </c>
      <c r="AF33" s="153">
        <f>200/(1+EXP(Models!$D$24*((Models!$E$24*Models!$B$4+Models!$B$5)*ChartData!B33)))</f>
        <v>92.771331252229956</v>
      </c>
      <c r="AG33" s="153">
        <f>100*EXP(-EXP(Models!$D$61*(ChartData!B33-Models!$C$61+Models!$E$61*Models!$B$4+Models!$F$61*Models!$B$5)))</f>
        <v>94.787812562552688</v>
      </c>
      <c r="AH33" s="266">
        <f>IF('Front Page'!$C$31&gt;0,1-'Front Page'!$C$31,"")</f>
        <v>0.995</v>
      </c>
      <c r="AI33" s="214">
        <f>Models!$B$25*Models!$I$25+(200-Models!$B$25*Models!$I$25)/(1+EXP(Models!$C$25*B33*(Models!$B$4*Models!$F$25+Models!$B$5+Models!$I$25*Models!$G$25)))</f>
        <v>93.831595013663232</v>
      </c>
      <c r="AJ33" s="214">
        <f>100*EXP(-EXP(Models!$D$62*(ChartData!B33-Models!$C$62+Models!$E$62*Models!$B$4+Models!$F$62*Models!$B$5)))</f>
        <v>94.801481266934331</v>
      </c>
      <c r="AK33" s="220">
        <f>Models!$B$26*Models!$I$26+(200-Models!$B$26*Models!$I$26)/(1+EXP(Models!$C$26*B33*(Models!$B$4*Models!$F$26+Models!$B$5+Models!$I$26*Models!$G$26)))</f>
        <v>91.274051246391807</v>
      </c>
      <c r="AL33" s="220">
        <f>100*EXP(-EXP(Models!$D$63*(ChartData!B33-Models!$C$63+Models!$E$63*Models!$B$4+Models!$F$63*Models!$B$5)))</f>
        <v>97.94657658247759</v>
      </c>
      <c r="AM33" s="226">
        <f>Models!$B$27*Models!$I$27+(200-Models!$B$27*Models!$I$27)/(1+EXP(Models!$C$27*B33*(Models!$B$4*Models!$F$27+Models!$B$5+Models!$I$27*Models!$G$27)))</f>
        <v>83.027479014780567</v>
      </c>
      <c r="AN33" s="226">
        <f>100*EXP(-EXP(Models!$D$64*(ChartData!B33-Models!$C$64+Models!$E$64*Models!$B$4+Models!$F$64*Models!$B$5)))</f>
        <v>98.232574875030792</v>
      </c>
      <c r="AO33" s="232">
        <f>Models!$B$28*Models!$I$28+(200-Models!$B$28*Models!$I$28)/(1+EXP(Models!$C$28*B33*(Models!$B$4*Models!$F$28+Models!$B$5+Models!$I$28*Models!$G$28)))</f>
        <v>92.892283446955844</v>
      </c>
      <c r="AP33" s="232">
        <f>100*EXP(-EXP(Models!$D$65*(ChartData!B33-Models!$C$65+Models!$E$65*Models!$B$4+Models!$F$65*Models!$B$5)))</f>
        <v>89.366098080163653</v>
      </c>
      <c r="AQ33" s="238">
        <f>Models!$B$29*Models!$I$29+(200-Models!$B$29*Models!$I$29)/(1+EXP(Models!$C$29*B33*(Models!$B$4*Models!$F$29+Models!$B$5+Models!$I$29*Models!$G$29)))</f>
        <v>89.586572137580802</v>
      </c>
      <c r="AR33" s="238">
        <f>100*EXP(-EXP(Models!$D$66*(ChartData!B33-Models!$C$66+Models!$E$66*Models!$B$4+Models!$F$66*Models!$B$5)))</f>
        <v>97.995486156985805</v>
      </c>
      <c r="AS33" s="244">
        <f>Models!$B$30*Models!$I$30+(200-Models!$B$30*Models!$I$30)/(1+EXP(Models!$C$30*B33*(Models!$B$4*Models!$F$30+Models!$B$5+Models!$I$30*Models!$G$30)))</f>
        <v>91.872202771269684</v>
      </c>
      <c r="AT33" s="244">
        <f>100*EXP(-EXP(Models!$D$67*(ChartData!B33-Models!$C$67+Models!$E$67*Models!$B$4+Models!$F$67*Models!$B$5)))</f>
        <v>95.351328583857182</v>
      </c>
    </row>
    <row r="34" spans="1:46" x14ac:dyDescent="0.2">
      <c r="A34" s="137" t="str">
        <f t="shared" si="2"/>
        <v>Multi-species 15.5</v>
      </c>
      <c r="B34">
        <v>700</v>
      </c>
      <c r="C34">
        <f>1-'Front Page'!$C$30</f>
        <v>0.99630303030303036</v>
      </c>
      <c r="D34" s="45">
        <f t="shared" si="0"/>
        <v>88.7920250498982</v>
      </c>
      <c r="E34" s="45">
        <f t="shared" si="1"/>
        <v>98.518117430505754</v>
      </c>
      <c r="F34" s="36">
        <f>Equations!$E$4/(1+EXP(Equations!$F$4*ChartData!B34*(Equations!$G$4*Equations!$C$4+Equations!$D$4)))</f>
        <v>93.324350194163415</v>
      </c>
      <c r="G34" s="36">
        <f>Equations!$E$7*EXP(-EXP(-Equations!$F$7*(ChartData!B34-Equations!$G$7+Equations!$H$7*Equations!$C$7+Equations!$I$7*Equations!$D$7)))</f>
        <v>96.93516862870797</v>
      </c>
      <c r="H34" s="55">
        <f>Models!$B$13+Models!$C$13*EXP(Models!$D$13*ChartData!B34+(Models!$E$13*ChartData!B34*Models!$E$3))</f>
        <v>81.319826739719019</v>
      </c>
      <c r="I34" s="55">
        <f>Models!$B$50*EXP(-EXP(Models!$D$50*(ChartData!B34+Models!$C$50-(Models!$E$50*Models!$B$5))))</f>
        <v>90.5144087952538</v>
      </c>
      <c r="J34" s="57">
        <f>Models!$B$12/(1+EXP(Models!$D$12*(ChartData!B34-Models!$C$12+Models!$E$12*ChartData!B34*Models!$B$5)))</f>
        <v>1.4493770539929713E-3</v>
      </c>
      <c r="K34" s="61">
        <f>Models!$B$49*EXP(-EXP(Models!$D$49*(ChartData!B34-Models!$C$49+(Models!$E$49*ChartData!B34*Models!$B$5))))</f>
        <v>96.525465095650404</v>
      </c>
      <c r="L34" s="62">
        <f>Models!$B$15/(1+EXP(Models!$D$15*(ChartData!B34*(1+Models!$D$15*Models!$B$5)-Models!$C$15)))</f>
        <v>34.21182002666697</v>
      </c>
      <c r="M34" s="63">
        <f>Models!$B$52*EXP(-EXP(Models!$D$52*(ChartData!B34*(1+Models!$D$52*Models!$B$5)-Models!$C$52)))</f>
        <v>97.816436904571006</v>
      </c>
      <c r="N34" s="53">
        <f>Models!$B$15/(1+EXP(Models!$D$15*(ChartData!B34-Models!$D$15+Models!$E$15*ChartData!B34*Models!$B$5)))</f>
        <v>28.31357207450371</v>
      </c>
      <c r="O34" s="53">
        <f>Models!$B$52*EXP(-EXP(Models!$D$52*(ChartData!B34-Models!$C$52+Models!$E$52*ChartData!B34*Models!$B$5)))</f>
        <v>98.745574928144862</v>
      </c>
      <c r="P34" s="172">
        <f>Models!$B$16*Models!$I$16+(100-Models!$B$16*Models!$I$16)/(1+EXP(Models!$C$16*(ChartData!B34-Models!$E$16+Models!$B$4*Models!$F$16+Models!$B$4*Models!$G$16*Models!$I$16+Models!$B$5*Models!$H$16)))</f>
        <v>94.127406473658638</v>
      </c>
      <c r="Q34" s="172">
        <f>Models!$B$53*EXP(-EXP(Models!$D$53*(ChartData!B34+Models!$C$53+Models!$B$5*Models!$E$53+Models!$B$4*Models!$F$53)))</f>
        <v>97.826760043960832</v>
      </c>
      <c r="R34" s="136">
        <f>Models!$B$17*Models!$I$17+(100-Models!$B$17*Models!$I$17)/(1+EXP(Models!$C$17*(ChartData!B34-Models!$E$17+Models!$B$4*Models!$F$17+Models!$B$4*Models!$G$17*Models!$I$17+Models!$B$5*Models!$H$17)))</f>
        <v>96.307357577043405</v>
      </c>
      <c r="S34" s="136">
        <f>Models!$B$54*EXP(-EXP(Models!$D$54*(ChartData!B34+Models!$C$54+Models!$B$5*Models!$E$54+Models!$B$4*Models!$F$54)))</f>
        <v>91.094925572352707</v>
      </c>
      <c r="T34" s="180">
        <f>Models!$B$18*Models!$I$18+(100-Models!$B$18*Models!$I$18)/(1+EXP(Models!$C$18*(ChartData!B34-Models!$E$18+Models!$B$4*Models!$F$18+Models!$B$4*Models!$G$18*Models!$I$18+Models!$B$5*Models!$H$18)))</f>
        <v>93.455716980748548</v>
      </c>
      <c r="U34" s="180">
        <f>Models!$B$55*EXP(-EXP(Models!$D$55*(ChartData!B34+Models!$C$55+Models!$B$5*Models!$E$55+Models!$B$4*Models!$F$55)))</f>
        <v>98.518235254989932</v>
      </c>
      <c r="V34" s="36">
        <f>Models!$B$19*Models!$I$19+(100-Models!$B$19*Models!$I$19)/(1+EXP(Models!$C$19*(ChartData!$B34-Models!$E$19+Models!$B$5*ChartData!$B34*Models!$F$19+Models!$B$4*Models!$G$19)))</f>
        <v>89.314429985984148</v>
      </c>
      <c r="W34" s="36">
        <f>Models!$B$56*EXP(-EXP(Models!$D$56*(ChartData!B34+Models!$C$56+Models!$B$5*Models!$E$56+Models!$B$4*Models!$F$56)))</f>
        <v>95.456969528644123</v>
      </c>
      <c r="X34" s="158">
        <f>Models!$B$20*Models!$I$20+(100-Models!$B$20*Models!$I$20)/(1+EXP(Models!$C$20*(ChartData!$B34-Models!$E$20+Models!$B$5*ChartData!$B34*Models!$F$20+Models!$B$4*Models!$G$20)))</f>
        <v>87.061282521994897</v>
      </c>
      <c r="Y34" s="158">
        <f>Models!$B$57*EXP(-EXP(Models!$D$57*(ChartData!B34+Models!$C$57+Models!$B$5*Models!$E$57+Models!$B$4*Models!$F$57)))</f>
        <v>98.330810229669979</v>
      </c>
      <c r="Z34" s="165">
        <f>Models!$B$21*Models!$I$21+(100-Models!$B$21*Models!$I$21)/(1+EXP(Models!$C$21*(ChartData!$B34-Models!$E$21+Models!$B$5*ChartData!$B34*Models!$F$21+Models!$B$4*Models!$G$21)))</f>
        <v>88.334110643361768</v>
      </c>
      <c r="AA34" s="165">
        <f>Models!$B$58*EXP(-EXP(Models!$D$58*(ChartData!B34+Models!$C$58+Models!$B$5*Models!$E$58+Models!$B$4*Models!$F$58)))</f>
        <v>98.580048319940175</v>
      </c>
      <c r="AB34" s="146">
        <f>200/(1+EXP(Models!$D$22*((Models!$E$22*Models!$B$4+Models!$B$5)*ChartData!B34)))</f>
        <v>95.118479091378916</v>
      </c>
      <c r="AC34" s="146">
        <f>100*EXP(-EXP(Models!$D$59*(ChartData!B34-Models!$C$59+Models!$E$59*Models!$B$4+Models!$F$59*Models!$B$5)))</f>
        <v>90.123657579966505</v>
      </c>
      <c r="AD34" s="149">
        <f>200/(1+EXP(Models!$D$23*((Models!$E$23*Models!$B$4+Models!$B$5)*ChartData!B34)))</f>
        <v>92.919359191615015</v>
      </c>
      <c r="AE34" s="149">
        <f>100*EXP(-EXP(Models!$D$60*(ChartData!B34-Models!$C$60+Models!$E$60*Models!$B$4+Models!$F$60*Models!$B$5)))</f>
        <v>94.794295519159689</v>
      </c>
      <c r="AF34" s="153">
        <f>200/(1+EXP(Models!$D$24*((Models!$E$24*Models!$B$4+Models!$B$5)*ChartData!B34)))</f>
        <v>92.217447638585625</v>
      </c>
      <c r="AG34" s="153">
        <f>100*EXP(-EXP(Models!$D$61*(ChartData!B34-Models!$C$61+Models!$E$61*Models!$B$4+Models!$F$61*Models!$B$5)))</f>
        <v>95.515807693769588</v>
      </c>
      <c r="AH34" s="266">
        <f>IF('Front Page'!$C$31&gt;0,1-'Front Page'!$C$31,"")</f>
        <v>0.995</v>
      </c>
      <c r="AI34" s="214">
        <f>Models!$B$25*Models!$I$25+(200-Models!$B$25*Models!$I$25)/(1+EXP(Models!$C$25*B34*(Models!$B$4*Models!$F$25+Models!$B$5+Models!$I$25*Models!$G$25)))</f>
        <v>93.358449064216046</v>
      </c>
      <c r="AJ34" s="214">
        <f>100*EXP(-EXP(Models!$D$62*(ChartData!B34-Models!$C$62+Models!$E$62*Models!$B$4+Models!$F$62*Models!$B$5)))</f>
        <v>95.45692060809165</v>
      </c>
      <c r="AK34" s="220">
        <f>Models!$B$26*Models!$I$26+(200-Models!$B$26*Models!$I$26)/(1+EXP(Models!$C$26*B34*(Models!$B$4*Models!$F$26+Models!$B$5+Models!$I$26*Models!$G$26)))</f>
        <v>90.606638850586805</v>
      </c>
      <c r="AL34" s="220">
        <f>100*EXP(-EXP(Models!$D$63*(ChartData!B34-Models!$C$63+Models!$E$63*Models!$B$4+Models!$F$63*Models!$B$5)))</f>
        <v>98.330683610271137</v>
      </c>
      <c r="AM34" s="226">
        <f>Models!$B$27*Models!$I$27+(200-Models!$B$27*Models!$I$27)/(1+EXP(Models!$C$27*B34*(Models!$B$4*Models!$F$27+Models!$B$5+Models!$I$27*Models!$G$27)))</f>
        <v>81.226301478205784</v>
      </c>
      <c r="AN34" s="226">
        <f>100*EXP(-EXP(Models!$D$64*(ChartData!B34-Models!$C$64+Models!$E$64*Models!$B$4+Models!$F$64*Models!$B$5)))</f>
        <v>98.580024788526984</v>
      </c>
      <c r="AO34" s="232">
        <f>Models!$B$28*Models!$I$28+(200-Models!$B$28*Models!$I$28)/(1+EXP(Models!$C$28*B34*(Models!$B$4*Models!$F$28+Models!$B$5+Models!$I$28*Models!$G$28)))</f>
        <v>92.347596791873329</v>
      </c>
      <c r="AP34" s="232">
        <f>100*EXP(-EXP(Models!$D$65*(ChartData!B34-Models!$C$65+Models!$E$65*Models!$B$4+Models!$F$65*Models!$B$5)))</f>
        <v>91.096522060082307</v>
      </c>
      <c r="AQ34" s="238">
        <f>Models!$B$29*Models!$I$29+(200-Models!$B$29*Models!$I$29)/(1+EXP(Models!$C$29*B34*(Models!$B$4*Models!$F$29+Models!$B$5+Models!$I$29*Models!$G$29)))</f>
        <v>88.7920250498982</v>
      </c>
      <c r="AR34" s="238">
        <f>100*EXP(-EXP(Models!$D$66*(ChartData!B34-Models!$C$66+Models!$E$66*Models!$B$4+Models!$F$66*Models!$B$5)))</f>
        <v>98.518117430505754</v>
      </c>
      <c r="AS34" s="244">
        <f>Models!$B$30*Models!$I$30+(200-Models!$B$30*Models!$I$30)/(1+EXP(Models!$C$30*B34*(Models!$B$4*Models!$F$30+Models!$B$5+Models!$I$30*Models!$G$30)))</f>
        <v>90.890412057535556</v>
      </c>
      <c r="AT34" s="244">
        <f>100*EXP(-EXP(Models!$D$67*(ChartData!B34-Models!$C$67+Models!$E$67*Models!$B$4+Models!$F$67*Models!$B$5)))</f>
        <v>96.350601634398998</v>
      </c>
    </row>
    <row r="35" spans="1:46" x14ac:dyDescent="0.2">
      <c r="B35">
        <v>750</v>
      </c>
      <c r="C35">
        <f>1-'Front Page'!$C$30</f>
        <v>0.99630303030303036</v>
      </c>
      <c r="D35" s="45">
        <f t="shared" si="0"/>
        <v>87.998908515036703</v>
      </c>
      <c r="E35" s="45">
        <f t="shared" si="1"/>
        <v>98.905245700577765</v>
      </c>
      <c r="F35" s="36">
        <f>Equations!$E$4/(1+EXP(Equations!$F$4*ChartData!B35*(Equations!$G$4*Equations!$C$4+Equations!$D$4)))</f>
        <v>92.849091097055748</v>
      </c>
      <c r="G35" s="36">
        <f>Equations!$E$7*EXP(-EXP(-Equations!$F$7*(ChartData!B35-Equations!$G$7+Equations!$H$7*Equations!$C$7+Equations!$I$7*Equations!$D$7)))</f>
        <v>97.402342756657674</v>
      </c>
      <c r="H35" s="55">
        <f>Models!$B$13+Models!$C$13*EXP(Models!$D$13*ChartData!B35+(Models!$E$13*ChartData!B35*Models!$E$3))</f>
        <v>80.163422061824178</v>
      </c>
      <c r="I35" s="55">
        <f>Models!$B$50*EXP(-EXP(Models!$D$50*(ChartData!B35+Models!$C$50-(Models!$E$50*Models!$B$5))))</f>
        <v>91.487492850439551</v>
      </c>
      <c r="J35" s="57">
        <f>Models!$B$12/(1+EXP(Models!$D$12*(ChartData!B35-Models!$C$12+Models!$E$12*ChartData!B35*Models!$B$5)))</f>
        <v>2.328278127652548E-4</v>
      </c>
      <c r="K35" s="61">
        <f>Models!$B$49*EXP(-EXP(Models!$D$49*(ChartData!B35-Models!$C$49+(Models!$E$49*ChartData!B35*Models!$B$5))))</f>
        <v>97.540289414127727</v>
      </c>
      <c r="L35" s="62">
        <f>Models!$B$15/(1+EXP(Models!$D$15*(ChartData!B35*(1+Models!$D$15*Models!$B$5)-Models!$C$15)))</f>
        <v>31.073804971487984</v>
      </c>
      <c r="M35" s="63">
        <f>Models!$B$52*EXP(-EXP(Models!$D$52*(ChartData!B35*(1+Models!$D$52*Models!$B$5)-Models!$C$52)))</f>
        <v>98.506155766309902</v>
      </c>
      <c r="N35" s="53">
        <f>Models!$B$15/(1+EXP(Models!$D$15*(ChartData!B35-Models!$D$15+Models!$E$15*ChartData!B35*Models!$B$5)))</f>
        <v>25.326514859277452</v>
      </c>
      <c r="O35" s="53">
        <f>Models!$B$52*EXP(-EXP(Models!$D$52*(ChartData!B35-Models!$C$52+Models!$E$52*ChartData!B35*Models!$B$5)))</f>
        <v>99.17649434049585</v>
      </c>
      <c r="P35" s="172">
        <f>Models!$B$16*Models!$I$16+(100-Models!$B$16*Models!$I$16)/(1+EXP(Models!$C$16*(ChartData!B35-Models!$E$16+Models!$B$4*Models!$F$16+Models!$B$4*Models!$G$16*Models!$I$16+Models!$B$5*Models!$H$16)))</f>
        <v>93.461262178469894</v>
      </c>
      <c r="Q35" s="172">
        <f>Models!$B$53*EXP(-EXP(Models!$D$53*(ChartData!B35+Models!$C$53+Models!$B$5*Models!$E$53+Models!$B$4*Models!$F$53)))</f>
        <v>98.353771600027244</v>
      </c>
      <c r="R35" s="136">
        <f>Models!$B$17*Models!$I$17+(100-Models!$B$17*Models!$I$17)/(1+EXP(Models!$C$17*(ChartData!B35-Models!$E$17+Models!$B$4*Models!$F$17+Models!$B$4*Models!$G$17*Models!$I$17+Models!$B$5*Models!$H$17)))</f>
        <v>95.970418244975534</v>
      </c>
      <c r="S35" s="136">
        <f>Models!$B$54*EXP(-EXP(Models!$D$54*(ChartData!B35+Models!$C$54+Models!$B$5*Models!$E$54+Models!$B$4*Models!$F$54)))</f>
        <v>92.555815917498535</v>
      </c>
      <c r="T35" s="180">
        <f>Models!$B$18*Models!$I$18+(100-Models!$B$18*Models!$I$18)/(1+EXP(Models!$C$18*(ChartData!B35-Models!$E$18+Models!$B$4*Models!$F$18+Models!$B$4*Models!$G$18*Models!$I$18+Models!$B$5*Models!$H$18)))</f>
        <v>92.583412489805909</v>
      </c>
      <c r="U35" s="180">
        <f>Models!$B$55*EXP(-EXP(Models!$D$55*(ChartData!B35+Models!$C$55+Models!$B$5*Models!$E$55+Models!$B$4*Models!$F$55)))</f>
        <v>98.905338358955944</v>
      </c>
      <c r="V35" s="36">
        <f>Models!$B$19*Models!$I$19+(100-Models!$B$19*Models!$I$19)/(1+EXP(Models!$C$19*(ChartData!$B35-Models!$E$19+Models!$B$5*ChartData!$B35*Models!$F$19+Models!$B$4*Models!$G$19)))</f>
        <v>89.013432103367947</v>
      </c>
      <c r="W35" s="36">
        <f>Models!$B$56*EXP(-EXP(Models!$D$56*(ChartData!B35+Models!$C$56+Models!$B$5*Models!$E$56+Models!$B$4*Models!$F$56)))</f>
        <v>96.03150114977808</v>
      </c>
      <c r="X35" s="158">
        <f>Models!$B$20*Models!$I$20+(100-Models!$B$20*Models!$I$20)/(1+EXP(Models!$C$20*(ChartData!$B35-Models!$E$20+Models!$B$5*ChartData!$B35*Models!$F$20+Models!$B$4*Models!$G$20)))</f>
        <v>86.534949871672382</v>
      </c>
      <c r="Y35" s="158">
        <f>Models!$B$57*EXP(-EXP(Models!$D$57*(ChartData!B35+Models!$C$57+Models!$B$5*Models!$E$57+Models!$B$4*Models!$F$57)))</f>
        <v>98.64354860735078</v>
      </c>
      <c r="Z35" s="165">
        <f>Models!$B$21*Models!$I$21+(100-Models!$B$21*Models!$I$21)/(1+EXP(Models!$C$21*(ChartData!$B35-Models!$E$21+Models!$B$5*ChartData!$B35*Models!$F$21+Models!$B$4*Models!$G$21)))</f>
        <v>87.814915121628815</v>
      </c>
      <c r="AA35" s="165">
        <f>Models!$B$58*EXP(-EXP(Models!$D$58*(ChartData!B35+Models!$C$58+Models!$B$5*Models!$E$58+Models!$B$4*Models!$F$58)))</f>
        <v>98.859586836453587</v>
      </c>
      <c r="AB35" s="146">
        <f>200/(1+EXP(Models!$D$22*((Models!$E$22*Models!$B$4+Models!$B$5)*ChartData!B35)))</f>
        <v>94.770413913342622</v>
      </c>
      <c r="AC35" s="146">
        <f>100*EXP(-EXP(Models!$D$59*(ChartData!B35-Models!$C$59+Models!$E$59*Models!$B$4+Models!$F$59*Models!$B$5)))</f>
        <v>90.992005437779767</v>
      </c>
      <c r="AD35" s="149">
        <f>200/(1+EXP(Models!$D$23*((Models!$E$23*Models!$B$4+Models!$B$5)*ChartData!B35)))</f>
        <v>92.415476326194621</v>
      </c>
      <c r="AE35" s="149">
        <f>100*EXP(-EXP(Models!$D$60*(ChartData!B35-Models!$C$60+Models!$E$60*Models!$B$4+Models!$F$60*Models!$B$5)))</f>
        <v>95.474047963913549</v>
      </c>
      <c r="AF35" s="153">
        <f>200/(1+EXP(Models!$D$24*((Models!$E$24*Models!$B$4+Models!$B$5)*ChartData!B35)))</f>
        <v>91.664044035714454</v>
      </c>
      <c r="AG35" s="153">
        <f>100*EXP(-EXP(Models!$D$61*(ChartData!B35-Models!$C$61+Models!$E$61*Models!$B$4+Models!$F$61*Models!$B$5)))</f>
        <v>96.144198867174225</v>
      </c>
      <c r="AH35" s="266">
        <f>IF('Front Page'!$C$31&gt;0,1-'Front Page'!$C$31,"")</f>
        <v>0.995</v>
      </c>
      <c r="AI35" s="214">
        <f>Models!$B$25*Models!$I$25+(200-Models!$B$25*Models!$I$25)/(1+EXP(Models!$C$25*B35*(Models!$B$4*Models!$F$25+Models!$B$5+Models!$I$25*Models!$G$25)))</f>
        <v>92.885601608768496</v>
      </c>
      <c r="AJ35" s="214">
        <f>100*EXP(-EXP(Models!$D$62*(ChartData!B35-Models!$C$62+Models!$E$62*Models!$B$4+Models!$F$62*Models!$B$5)))</f>
        <v>96.031458286591061</v>
      </c>
      <c r="AK35" s="220">
        <f>Models!$B$26*Models!$I$26+(200-Models!$B$26*Models!$I$26)/(1+EXP(Models!$C$26*B35*(Models!$B$4*Models!$F$26+Models!$B$5+Models!$I$26*Models!$G$26)))</f>
        <v>89.940069672116749</v>
      </c>
      <c r="AL35" s="220">
        <f>100*EXP(-EXP(Models!$D$63*(ChartData!B35-Models!$C$63+Models!$E$63*Models!$B$4+Models!$F$63*Models!$B$5)))</f>
        <v>98.643438810784474</v>
      </c>
      <c r="AM35" s="226">
        <f>Models!$B$27*Models!$I$27+(200-Models!$B$27*Models!$I$27)/(1+EXP(Models!$C$27*B35*(Models!$B$4*Models!$F$27+Models!$B$5+Models!$I$27*Models!$G$27)))</f>
        <v>79.446957288983441</v>
      </c>
      <c r="AN35" s="226">
        <f>100*EXP(-EXP(Models!$D$64*(ChartData!B35-Models!$C$64+Models!$E$64*Models!$B$4+Models!$F$64*Models!$B$5)))</f>
        <v>98.859567910713196</v>
      </c>
      <c r="AO35" s="232">
        <f>Models!$B$28*Models!$I$28+(200-Models!$B$28*Models!$I$28)/(1+EXP(Models!$C$28*B35*(Models!$B$4*Models!$F$28+Models!$B$5+Models!$I$28*Models!$G$28)))</f>
        <v>91.803366497200855</v>
      </c>
      <c r="AP35" s="232">
        <f>100*EXP(-EXP(Models!$D$65*(ChartData!B35-Models!$C$65+Models!$E$65*Models!$B$4+Models!$F$65*Models!$B$5)))</f>
        <v>92.557161308030771</v>
      </c>
      <c r="AQ35" s="238">
        <f>Models!$B$29*Models!$I$29+(200-Models!$B$29*Models!$I$29)/(1+EXP(Models!$C$29*B35*(Models!$B$4*Models!$F$29+Models!$B$5+Models!$I$29*Models!$G$29)))</f>
        <v>87.998908515036703</v>
      </c>
      <c r="AR35" s="238">
        <f>100*EXP(-EXP(Models!$D$66*(ChartData!B35-Models!$C$66+Models!$E$66*Models!$B$4+Models!$F$66*Models!$B$5)))</f>
        <v>98.905245700577765</v>
      </c>
      <c r="AS35" s="244">
        <f>Models!$B$30*Models!$I$30+(200-Models!$B$30*Models!$I$30)/(1+EXP(Models!$C$30*B35*(Models!$B$4*Models!$F$30+Models!$B$5+Models!$I$30*Models!$G$30)))</f>
        <v>89.911639506087923</v>
      </c>
      <c r="AT35" s="244">
        <f>100*EXP(-EXP(Models!$D$67*(ChartData!B35-Models!$C$67+Models!$E$67*Models!$B$4+Models!$F$67*Models!$B$5)))</f>
        <v>97.138299843550641</v>
      </c>
    </row>
    <row r="36" spans="1:46" x14ac:dyDescent="0.2">
      <c r="A36" s="133" t="s">
        <v>301</v>
      </c>
      <c r="B36">
        <v>800</v>
      </c>
      <c r="C36">
        <f>1-'Front Page'!$C$30</f>
        <v>0.99630303030303036</v>
      </c>
      <c r="D36" s="45">
        <f t="shared" si="0"/>
        <v>87.207320908729642</v>
      </c>
      <c r="E36" s="45">
        <f t="shared" si="1"/>
        <v>99.191655172051568</v>
      </c>
      <c r="F36" s="36">
        <f>Equations!$E$4/(1+EXP(Equations!$F$4*ChartData!B36*(Equations!$G$4*Equations!$C$4+Equations!$D$4)))</f>
        <v>92.374156475510176</v>
      </c>
      <c r="G36" s="36">
        <f>Equations!$E$7*EXP(-EXP(-Equations!$F$7*(ChartData!B36-Equations!$G$7+Equations!$H$7*Equations!$C$7+Equations!$I$7*Equations!$D$7)))</f>
        <v>97.799115368023578</v>
      </c>
      <c r="H36" s="55">
        <f>Models!$B$13+Models!$C$13*EXP(Models!$D$13*ChartData!B36+(Models!$E$13*ChartData!B36*Models!$E$3))</f>
        <v>79.028441214287483</v>
      </c>
      <c r="I36" s="55">
        <f>Models!$B$50*EXP(-EXP(Models!$D$50*(ChartData!B36+Models!$C$50-(Models!$E$50*Models!$B$5))))</f>
        <v>92.365003464624181</v>
      </c>
      <c r="J36" s="57">
        <f>Models!$B$12/(1+EXP(Models!$D$12*(ChartData!B36-Models!$C$12+Models!$E$12*ChartData!B36*Models!$B$5)))</f>
        <v>3.7401125384437448E-5</v>
      </c>
      <c r="K36" s="61">
        <f>Models!$B$49*EXP(-EXP(Models!$D$49*(ChartData!B36-Models!$C$49+(Models!$E$49*ChartData!B36*Models!$B$5))))</f>
        <v>98.261376982489551</v>
      </c>
      <c r="L36" s="62">
        <f>Models!$B$15/(1+EXP(Models!$D$15*(ChartData!B36*(1+Models!$D$15*Models!$B$5)-Models!$C$15)))</f>
        <v>28.174703734367807</v>
      </c>
      <c r="M36" s="63">
        <f>Models!$B$52*EXP(-EXP(Models!$D$52*(ChartData!B36*(1+Models!$D$52*Models!$B$5)-Models!$C$52)))</f>
        <v>98.979150265329892</v>
      </c>
      <c r="N36" s="53">
        <f>Models!$B$15/(1+EXP(Models!$D$15*(ChartData!B36-Models!$D$15+Models!$E$15*ChartData!B36*Models!$B$5)))</f>
        <v>22.613083069573072</v>
      </c>
      <c r="O36" s="53">
        <f>Models!$B$52*EXP(-EXP(Models!$D$52*(ChartData!B36-Models!$C$52+Models!$E$52*ChartData!B36*Models!$B$5)))</f>
        <v>99.459789244774512</v>
      </c>
      <c r="P36" s="172">
        <f>Models!$B$16*Models!$I$16+(100-Models!$B$16*Models!$I$16)/(1+EXP(Models!$C$16*(ChartData!B36-Models!$E$16+Models!$B$4*Models!$F$16+Models!$B$4*Models!$G$16*Models!$I$16+Models!$B$5*Models!$H$16)))</f>
        <v>92.725395146887564</v>
      </c>
      <c r="Q36" s="172">
        <f>Models!$B$53*EXP(-EXP(Models!$D$53*(ChartData!B36+Models!$C$53+Models!$B$5*Models!$E$53+Models!$B$4*Models!$F$53)))</f>
        <v>98.753796904597124</v>
      </c>
      <c r="R36" s="136">
        <f>Models!$B$17*Models!$I$17+(100-Models!$B$17*Models!$I$17)/(1+EXP(Models!$C$17*(ChartData!B36-Models!$E$17+Models!$B$4*Models!$F$17+Models!$B$4*Models!$G$17*Models!$I$17+Models!$B$5*Models!$H$17)))</f>
        <v>95.604137803462038</v>
      </c>
      <c r="S36" s="136">
        <f>Models!$B$54*EXP(-EXP(Models!$D$54*(ChartData!B36+Models!$C$54+Models!$B$5*Models!$E$54+Models!$B$4*Models!$F$54)))</f>
        <v>93.785264309417556</v>
      </c>
      <c r="T36" s="180">
        <f>Models!$B$18*Models!$I$18+(100-Models!$B$18*Models!$I$18)/(1+EXP(Models!$C$18*(ChartData!B36-Models!$E$18+Models!$B$4*Models!$F$18+Models!$B$4*Models!$G$18*Models!$I$18+Models!$B$5*Models!$H$18)))</f>
        <v>91.606281926059694</v>
      </c>
      <c r="U36" s="180">
        <f>Models!$B$55*EXP(-EXP(Models!$D$55*(ChartData!B36+Models!$C$55+Models!$B$5*Models!$E$55+Models!$B$4*Models!$F$55)))</f>
        <v>99.191727713290874</v>
      </c>
      <c r="V36" s="36">
        <f>Models!$B$19*Models!$I$19+(100-Models!$B$19*Models!$I$19)/(1+EXP(Models!$C$19*(ChartData!$B36-Models!$E$19+Models!$B$5*ChartData!$B36*Models!$F$19+Models!$B$4*Models!$G$19)))</f>
        <v>88.705027764131088</v>
      </c>
      <c r="W36" s="36">
        <f>Models!$B$56*EXP(-EXP(Models!$D$56*(ChartData!B36+Models!$C$56+Models!$B$5*Models!$E$56+Models!$B$4*Models!$F$56)))</f>
        <v>96.53469890834883</v>
      </c>
      <c r="X36" s="158">
        <f>Models!$B$20*Models!$I$20+(100-Models!$B$20*Models!$I$20)/(1+EXP(Models!$C$20*(ChartData!$B36-Models!$E$20+Models!$B$5*ChartData!$B36*Models!$F$20+Models!$B$4*Models!$G$20)))</f>
        <v>85.990651856016314</v>
      </c>
      <c r="Y36" s="158">
        <f>Models!$B$57*EXP(-EXP(Models!$D$57*(ChartData!B36+Models!$C$57+Models!$B$5*Models!$E$57+Models!$B$4*Models!$F$57)))</f>
        <v>98.898021101905684</v>
      </c>
      <c r="Z36" s="165">
        <f>Models!$B$21*Models!$I$21+(100-Models!$B$21*Models!$I$21)/(1+EXP(Models!$C$21*(ChartData!$B36-Models!$E$21+Models!$B$5*ChartData!$B36*Models!$F$21+Models!$B$4*Models!$G$21)))</f>
        <v>87.276514283007515</v>
      </c>
      <c r="AA36" s="165">
        <f>Models!$B$58*EXP(-EXP(Models!$D$58*(ChartData!B36+Models!$C$58+Models!$B$5*Models!$E$58+Models!$B$4*Models!$F$58)))</f>
        <v>99.084349783005891</v>
      </c>
      <c r="AB36" s="146">
        <f>200/(1+EXP(Models!$D$22*((Models!$E$22*Models!$B$4+Models!$B$5)*ChartData!B36)))</f>
        <v>94.422475748640792</v>
      </c>
      <c r="AC36" s="146">
        <f>100*EXP(-EXP(Models!$D$59*(ChartData!B36-Models!$C$59+Models!$E$59*Models!$B$4+Models!$F$59*Models!$B$5)))</f>
        <v>91.787523503538765</v>
      </c>
      <c r="AD36" s="149">
        <f>200/(1+EXP(Models!$D$23*((Models!$E$23*Models!$B$4+Models!$B$5)*ChartData!B36)))</f>
        <v>91.911980530529647</v>
      </c>
      <c r="AE36" s="149">
        <f>100*EXP(-EXP(Models!$D$60*(ChartData!B36-Models!$C$60+Models!$E$60*Models!$B$4+Models!$F$60*Models!$B$5)))</f>
        <v>96.06688875707458</v>
      </c>
      <c r="AF36" s="153">
        <f>200/(1+EXP(Models!$D$24*((Models!$E$24*Models!$B$4+Models!$B$5)*ChartData!B36)))</f>
        <v>91.111154114939282</v>
      </c>
      <c r="AG36" s="153">
        <f>100*EXP(-EXP(Models!$D$61*(ChartData!B36-Models!$C$61+Models!$E$61*Models!$B$4+Models!$F$61*Models!$B$5)))</f>
        <v>96.686063459315363</v>
      </c>
      <c r="AH36" s="266">
        <f>IF('Front Page'!$C$31&gt;0,1-'Front Page'!$C$31,"")</f>
        <v>0.995</v>
      </c>
      <c r="AI36" s="214">
        <f>Models!$B$25*Models!$I$25+(200-Models!$B$25*Models!$I$25)/(1+EXP(Models!$C$25*B36*(Models!$B$4*Models!$F$25+Models!$B$5+Models!$I$25*Models!$G$25)))</f>
        <v>92.413073689807305</v>
      </c>
      <c r="AJ36" s="214">
        <f>100*EXP(-EXP(Models!$D$62*(ChartData!B36-Models!$C$62+Models!$E$62*Models!$B$4+Models!$F$62*Models!$B$5)))</f>
        <v>96.534661381576058</v>
      </c>
      <c r="AK36" s="220">
        <f>Models!$B$26*Models!$I$26+(200-Models!$B$26*Models!$I$26)/(1+EXP(Models!$C$26*B36*(Models!$B$4*Models!$F$26+Models!$B$5+Models!$I$26*Models!$G$26)))</f>
        <v>89.274402365786898</v>
      </c>
      <c r="AL36" s="220">
        <f>100*EXP(-EXP(Models!$D$63*(ChartData!B36-Models!$C$63+Models!$E$63*Models!$B$4+Models!$F$63*Models!$B$5)))</f>
        <v>98.897926308249808</v>
      </c>
      <c r="AM36" s="226">
        <f>Models!$B$27*Models!$I$27+(200-Models!$B$27*Models!$I$27)/(1+EXP(Models!$C$27*B36*(Models!$B$4*Models!$F$27+Models!$B$5+Models!$I$27*Models!$G$27)))</f>
        <v>77.690617362397205</v>
      </c>
      <c r="AN36" s="226">
        <f>100*EXP(-EXP(Models!$D$64*(ChartData!B36-Models!$C$64+Models!$E$64*Models!$B$4+Models!$F$64*Models!$B$5)))</f>
        <v>99.084334570027323</v>
      </c>
      <c r="AO36" s="232">
        <f>Models!$B$28*Models!$I$28+(200-Models!$B$28*Models!$I$28)/(1+EXP(Models!$C$28*B36*(Models!$B$4*Models!$F$28+Models!$B$5+Models!$I$28*Models!$G$28)))</f>
        <v>91.259624594675913</v>
      </c>
      <c r="AP36" s="232">
        <f>100*EXP(-EXP(Models!$D$65*(ChartData!B36-Models!$C$65+Models!$E$65*Models!$B$4+Models!$F$65*Models!$B$5)))</f>
        <v>93.78639502304101</v>
      </c>
      <c r="AQ36" s="238">
        <f>Models!$B$29*Models!$I$29+(200-Models!$B$29*Models!$I$29)/(1+EXP(Models!$C$29*B36*(Models!$B$4*Models!$F$29+Models!$B$5+Models!$I$29*Models!$G$29)))</f>
        <v>87.207320908729642</v>
      </c>
      <c r="AR36" s="238">
        <f>100*EXP(-EXP(Models!$D$66*(ChartData!B36-Models!$C$66+Models!$E$66*Models!$B$4+Models!$F$66*Models!$B$5)))</f>
        <v>99.191655172051568</v>
      </c>
      <c r="AS36" s="244">
        <f>Models!$B$30*Models!$I$30+(200-Models!$B$30*Models!$I$30)/(1+EXP(Models!$C$30*B36*(Models!$B$4*Models!$F$30+Models!$B$5+Models!$I$30*Models!$G$30)))</f>
        <v>88.936086998426731</v>
      </c>
      <c r="AT36" s="244">
        <f>100*EXP(-EXP(Models!$D$67*(ChartData!B36-Models!$C$67+Models!$E$67*Models!$B$4+Models!$F$67*Models!$B$5)))</f>
        <v>97.757958916560966</v>
      </c>
    </row>
    <row r="37" spans="1:46" x14ac:dyDescent="0.2">
      <c r="A37" s="133" t="s">
        <v>233</v>
      </c>
      <c r="B37">
        <v>850</v>
      </c>
      <c r="C37">
        <f>1-'Front Page'!$C$30</f>
        <v>0.99630303030303036</v>
      </c>
      <c r="D37" s="45">
        <f t="shared" si="0"/>
        <v>86.417359833338736</v>
      </c>
      <c r="E37" s="45">
        <f t="shared" si="1"/>
        <v>99.403360250492824</v>
      </c>
      <c r="F37" s="36">
        <f>Equations!$E$4/(1+EXP(Equations!$F$4*ChartData!B37*(Equations!$G$4*Equations!$C$4+Equations!$D$4)))</f>
        <v>91.899567635805752</v>
      </c>
      <c r="G37" s="36">
        <f>Equations!$E$7*EXP(-EXP(-Equations!$F$7*(ChartData!B37-Equations!$G$7+Equations!$H$7*Equations!$C$7+Equations!$I$7*Equations!$D$7)))</f>
        <v>98.135864914634183</v>
      </c>
      <c r="H37" s="55">
        <f>Models!$B$13+Models!$C$13*EXP(Models!$D$13*ChartData!B37+(Models!$E$13*ChartData!B37*Models!$E$3))</f>
        <v>77.914487294090492</v>
      </c>
      <c r="I37" s="55">
        <f>Models!$B$50*EXP(-EXP(Models!$D$50*(ChartData!B37+Models!$C$50-(Models!$E$50*Models!$B$5))))</f>
        <v>93.155468992149935</v>
      </c>
      <c r="J37" s="57">
        <f>Models!$B$12/(1+EXP(Models!$D$12*(ChartData!B37-Models!$C$12+Models!$E$12*ChartData!B37*Models!$B$5)))</f>
        <v>6.0080549100414888E-6</v>
      </c>
      <c r="K37" s="61">
        <f>Models!$B$49*EXP(-EXP(Models!$D$49*(ChartData!B37-Models!$C$49+(Models!$E$49*ChartData!B37*Models!$B$5))))</f>
        <v>98.772400594025413</v>
      </c>
      <c r="L37" s="62">
        <f>Models!$B$15/(1+EXP(Models!$D$15*(ChartData!B37*(1+Models!$D$15*Models!$B$5)-Models!$C$15)))</f>
        <v>25.505242703821651</v>
      </c>
      <c r="M37" s="63">
        <f>Models!$B$52*EXP(-EXP(Models!$D$52*(ChartData!B37*(1+Models!$D$52*Models!$B$5)-Models!$C$52)))</f>
        <v>99.302910641116782</v>
      </c>
      <c r="N37" s="53">
        <f>Models!$B$15/(1+EXP(Models!$D$15*(ChartData!B37-Models!$D$15+Models!$E$15*ChartData!B37*Models!$B$5)))</f>
        <v>20.156815615668293</v>
      </c>
      <c r="O37" s="53">
        <f>Models!$B$52*EXP(-EXP(Models!$D$52*(ChartData!B37-Models!$C$52+Models!$E$52*ChartData!B37*Models!$B$5)))</f>
        <v>99.645801585854329</v>
      </c>
      <c r="P37" s="172">
        <f>Models!$B$16*Models!$I$16+(100-Models!$B$16*Models!$I$16)/(1+EXP(Models!$C$16*(ChartData!B37-Models!$E$16+Models!$B$4*Models!$F$16+Models!$B$4*Models!$G$16*Models!$I$16+Models!$B$5*Models!$H$16)))</f>
        <v>91.913878876865141</v>
      </c>
      <c r="Q37" s="172">
        <f>Models!$B$53*EXP(-EXP(Models!$D$53*(ChartData!B37+Models!$C$53+Models!$B$5*Models!$E$53+Models!$B$4*Models!$F$53)))</f>
        <v>99.057084104478037</v>
      </c>
      <c r="R37" s="136">
        <f>Models!$B$17*Models!$I$17+(100-Models!$B$17*Models!$I$17)/(1+EXP(Models!$C$17*(ChartData!B37-Models!$E$17+Models!$B$4*Models!$F$17+Models!$B$4*Models!$G$17*Models!$I$17+Models!$B$5*Models!$H$17)))</f>
        <v>95.206226304970258</v>
      </c>
      <c r="S37" s="136">
        <f>Models!$B$54*EXP(-EXP(Models!$D$54*(ChartData!B37+Models!$C$54+Models!$B$5*Models!$E$54+Models!$B$4*Models!$F$54)))</f>
        <v>94.817372738468123</v>
      </c>
      <c r="T37" s="180">
        <f>Models!$B$18*Models!$I$18+(100-Models!$B$18*Models!$I$18)/(1+EXP(Models!$C$18*(ChartData!B37-Models!$E$18+Models!$B$4*Models!$F$18+Models!$B$4*Models!$G$18*Models!$I$18+Models!$B$5*Models!$H$18)))</f>
        <v>90.514883491788879</v>
      </c>
      <c r="U37" s="180">
        <f>Models!$B$55*EXP(-EXP(Models!$D$55*(ChartData!B37+Models!$C$55+Models!$B$5*Models!$E$55+Models!$B$4*Models!$F$55)))</f>
        <v>99.403416824397809</v>
      </c>
      <c r="V37" s="36">
        <f>Models!$B$19*Models!$I$19+(100-Models!$B$19*Models!$I$19)/(1+EXP(Models!$C$19*(ChartData!$B37-Models!$E$19+Models!$B$5*ChartData!$B37*Models!$F$19+Models!$B$4*Models!$G$19)))</f>
        <v>88.389095443934394</v>
      </c>
      <c r="W37" s="36">
        <f>Models!$B$56*EXP(-EXP(Models!$D$56*(ChartData!B37+Models!$C$56+Models!$B$5*Models!$E$56+Models!$B$4*Models!$F$56)))</f>
        <v>96.975100475635116</v>
      </c>
      <c r="X37" s="158">
        <f>Models!$B$20*Models!$I$20+(100-Models!$B$20*Models!$I$20)/(1+EXP(Models!$C$20*(ChartData!$B37-Models!$E$20+Models!$B$5*ChartData!$B37*Models!$F$20+Models!$B$4*Models!$G$20)))</f>
        <v>85.428056697429824</v>
      </c>
      <c r="Y37" s="158">
        <f>Models!$B$57*EXP(-EXP(Models!$D$57*(ChartData!B37+Models!$C$57+Models!$B$5*Models!$E$57+Models!$B$4*Models!$F$57)))</f>
        <v>99.104970858599216</v>
      </c>
      <c r="Z37" s="165">
        <f>Models!$B$21*Models!$I$21+(100-Models!$B$21*Models!$I$21)/(1+EXP(Models!$C$21*(ChartData!$B37-Models!$E$21+Models!$B$5*ChartData!$B37*Models!$F$21+Models!$B$4*Models!$G$21)))</f>
        <v>86.718546248099173</v>
      </c>
      <c r="AA37" s="165">
        <f>Models!$B$58*EXP(-EXP(Models!$D$58*(ChartData!B37+Models!$C$58+Models!$B$5*Models!$E$58+Models!$B$4*Models!$F$58)))</f>
        <v>99.264979170802405</v>
      </c>
      <c r="AB37" s="146">
        <f>200/(1+EXP(Models!$D$22*((Models!$E$22*Models!$B$4+Models!$B$5)*ChartData!B37)))</f>
        <v>94.074672996729504</v>
      </c>
      <c r="AC37" s="146">
        <f>100*EXP(-EXP(Models!$D$59*(ChartData!B37-Models!$C$59+Models!$E$59*Models!$B$4+Models!$F$59*Models!$B$5)))</f>
        <v>92.515705773736599</v>
      </c>
      <c r="AD37" s="149">
        <f>200/(1+EXP(Models!$D$23*((Models!$E$23*Models!$B$4+Models!$B$5)*ChartData!B37)))</f>
        <v>91.408897172510805</v>
      </c>
      <c r="AE37" s="149">
        <f>100*EXP(-EXP(Models!$D$60*(ChartData!B37-Models!$C$60+Models!$E$60*Models!$B$4+Models!$F$60*Models!$B$5)))</f>
        <v>96.583469735814376</v>
      </c>
      <c r="AF37" s="153">
        <f>200/(1+EXP(Models!$D$24*((Models!$E$24*Models!$B$4+Models!$B$5)*ChartData!B37)))</f>
        <v>90.558811421414291</v>
      </c>
      <c r="AG37" s="153">
        <f>100*EXP(-EXP(Models!$D$61*(ChartData!B37-Models!$C$61+Models!$E$61*Models!$B$4+Models!$F$61*Models!$B$5)))</f>
        <v>97.152909387157251</v>
      </c>
      <c r="AH37" s="266">
        <f>IF('Front Page'!$C$31&gt;0,1-'Front Page'!$C$31,"")</f>
        <v>0.995</v>
      </c>
      <c r="AI37" s="214">
        <f>Models!$B$25*Models!$I$25+(200-Models!$B$25*Models!$I$25)/(1+EXP(Models!$C$25*B37*(Models!$B$4*Models!$F$25+Models!$B$5+Models!$I$25*Models!$G$25)))</f>
        <v>91.940886292560521</v>
      </c>
      <c r="AJ37" s="214">
        <f>100*EXP(-EXP(Models!$D$62*(ChartData!B37-Models!$C$62+Models!$E$62*Models!$B$4+Models!$F$62*Models!$B$5)))</f>
        <v>96.975067643053151</v>
      </c>
      <c r="AK37" s="220">
        <f>Models!$B$26*Models!$I$26+(200-Models!$B$26*Models!$I$26)/(1+EXP(Models!$C$26*B37*(Models!$B$4*Models!$F$26+Models!$B$5+Models!$I$26*Models!$G$26)))</f>
        <v>88.609695264665774</v>
      </c>
      <c r="AL37" s="220">
        <f>100*EXP(-EXP(Models!$D$63*(ChartData!B37-Models!$C$63+Models!$E$63*Models!$B$4+Models!$F$63*Models!$B$5)))</f>
        <v>99.104889330924223</v>
      </c>
      <c r="AM37" s="226">
        <f>Models!$B$27*Models!$I$27+(200-Models!$B$27*Models!$I$27)/(1+EXP(Models!$C$27*B37*(Models!$B$4*Models!$F$27+Models!$B$5+Models!$I$27*Models!$G$27)))</f>
        <v>75.958381853201004</v>
      </c>
      <c r="AN37" s="226">
        <f>100*EXP(-EXP(Models!$D$64*(ChartData!B37-Models!$C$64+Models!$E$64*Models!$B$4+Models!$F$64*Models!$B$5)))</f>
        <v>99.264966947731082</v>
      </c>
      <c r="AO37" s="232">
        <f>Models!$B$28*Models!$I$28+(200-Models!$B$28*Models!$I$28)/(1+EXP(Models!$C$28*B37*(Models!$B$4*Models!$F$28+Models!$B$5+Models!$I$28*Models!$G$28)))</f>
        <v>90.716403000032543</v>
      </c>
      <c r="AP37" s="232">
        <f>100*EXP(-EXP(Models!$D$65*(ChartData!B37-Models!$C$65+Models!$E$65*Models!$B$4+Models!$F$65*Models!$B$5)))</f>
        <v>94.818320893582566</v>
      </c>
      <c r="AQ37" s="238">
        <f>Models!$B$29*Models!$I$29+(200-Models!$B$29*Models!$I$29)/(1+EXP(Models!$C$29*B37*(Models!$B$4*Models!$F$29+Models!$B$5+Models!$I$29*Models!$G$29)))</f>
        <v>86.417359833338736</v>
      </c>
      <c r="AR37" s="238">
        <f>100*EXP(-EXP(Models!$D$66*(ChartData!B37-Models!$C$66+Models!$E$66*Models!$B$4+Models!$F$66*Models!$B$5)))</f>
        <v>99.403360250492824</v>
      </c>
      <c r="AS37" s="244">
        <f>Models!$B$30*Models!$I$30+(200-Models!$B$30*Models!$I$30)/(1+EXP(Models!$C$30*B37*(Models!$B$4*Models!$F$30+Models!$B$5+Models!$I$30*Models!$G$30)))</f>
        <v>87.963953668408493</v>
      </c>
      <c r="AT37" s="244">
        <f>100*EXP(-EXP(Models!$D$67*(ChartData!B37-Models!$C$67+Models!$E$67*Models!$B$4+Models!$F$67*Models!$B$5)))</f>
        <v>98.244653279677479</v>
      </c>
    </row>
    <row r="38" spans="1:46" x14ac:dyDescent="0.2">
      <c r="A38" s="133" t="s">
        <v>285</v>
      </c>
      <c r="B38">
        <v>900</v>
      </c>
      <c r="C38">
        <f>1-'Front Page'!$C$30</f>
        <v>0.99630303030303036</v>
      </c>
      <c r="D38" s="45">
        <f t="shared" si="0"/>
        <v>85.629122070959383</v>
      </c>
      <c r="E38" s="45">
        <f t="shared" si="1"/>
        <v>99.559742930955125</v>
      </c>
      <c r="F38" s="36">
        <f>Equations!$E$4/(1+EXP(Equations!$F$4*ChartData!B38*(Equations!$G$4*Equations!$C$4+Equations!$D$4)))</f>
        <v>91.425345821691366</v>
      </c>
      <c r="G38" s="36">
        <f>Equations!$E$7*EXP(-EXP(-Equations!$F$7*(ChartData!B38-Equations!$G$7+Equations!$H$7*Equations!$C$7+Equations!$I$7*Equations!$D$7)))</f>
        <v>98.42150604429483</v>
      </c>
      <c r="H38" s="55">
        <f>Models!$B$13+Models!$C$13*EXP(Models!$D$13*ChartData!B38+(Models!$E$13*ChartData!B38*Models!$E$3))</f>
        <v>76.821170751335231</v>
      </c>
      <c r="I38" s="55">
        <f>Models!$B$50*EXP(-EXP(Models!$D$50*(ChartData!B38+Models!$C$50-(Models!$E$50*Models!$B$5))))</f>
        <v>93.866834173583882</v>
      </c>
      <c r="J38" s="57">
        <f>Models!$B$12/(1+EXP(Models!$D$12*(ChartData!B38-Models!$C$12+Models!$E$12*ChartData!B38*Models!$B$5)))</f>
        <v>9.6512379160436107E-7</v>
      </c>
      <c r="K38" s="61">
        <f>Models!$B$49*EXP(-EXP(Models!$D$49*(ChartData!B38-Models!$C$49+(Models!$E$49*ChartData!B38*Models!$B$5))))</f>
        <v>99.133883718692914</v>
      </c>
      <c r="L38" s="62">
        <f>Models!$B$15/(1+EXP(Models!$D$15*(ChartData!B38*(1+Models!$D$15*Models!$B$5)-Models!$C$15)))</f>
        <v>23.054768310927329</v>
      </c>
      <c r="M38" s="63">
        <f>Models!$B$52*EXP(-EXP(Models!$D$52*(ChartData!B38*(1+Models!$D$52*Models!$B$5)-Models!$C$52)))</f>
        <v>99.52423778818256</v>
      </c>
      <c r="N38" s="53">
        <f>Models!$B$15/(1+EXP(Models!$D$15*(ChartData!B38-Models!$D$15+Models!$E$15*ChartData!B38*Models!$B$5)))</f>
        <v>17.940367979023641</v>
      </c>
      <c r="O38" s="53">
        <f>Models!$B$52*EXP(-EXP(Models!$D$52*(ChartData!B38-Models!$C$52+Models!$E$52*ChartData!B38*Models!$B$5)))</f>
        <v>99.767838492479257</v>
      </c>
      <c r="P38" s="172">
        <f>Models!$B$16*Models!$I$16+(100-Models!$B$16*Models!$I$16)/(1+EXP(Models!$C$16*(ChartData!B38-Models!$E$16+Models!$B$4*Models!$F$16+Models!$B$4*Models!$G$16*Models!$I$16+Models!$B$5*Models!$H$16)))</f>
        <v>91.020600812508889</v>
      </c>
      <c r="Q38" s="172">
        <f>Models!$B$53*EXP(-EXP(Models!$D$53*(ChartData!B38+Models!$C$53+Models!$B$5*Models!$E$53+Models!$B$4*Models!$F$53)))</f>
        <v>99.286827167940103</v>
      </c>
      <c r="R38" s="136">
        <f>Models!$B$17*Models!$I$17+(100-Models!$B$17*Models!$I$17)/(1+EXP(Models!$C$17*(ChartData!B38-Models!$E$17+Models!$B$4*Models!$F$17+Models!$B$4*Models!$G$17*Models!$I$17+Models!$B$5*Models!$H$17)))</f>
        <v>94.774264824931862</v>
      </c>
      <c r="S38" s="136">
        <f>Models!$B$54*EXP(-EXP(Models!$D$54*(ChartData!B38+Models!$C$54+Models!$B$5*Models!$E$54+Models!$B$4*Models!$F$54)))</f>
        <v>95.682034890781296</v>
      </c>
      <c r="T38" s="180">
        <f>Models!$B$18*Models!$I$18+(100-Models!$B$18*Models!$I$18)/(1+EXP(Models!$C$18*(ChartData!B38-Models!$E$18+Models!$B$4*Models!$F$18+Models!$B$4*Models!$G$18*Models!$I$18+Models!$B$5*Models!$H$18)))</f>
        <v>89.299778199025795</v>
      </c>
      <c r="U38" s="180">
        <f>Models!$B$55*EXP(-EXP(Models!$D$55*(ChartData!B38+Models!$C$55+Models!$B$5*Models!$E$55+Models!$B$4*Models!$F$55)))</f>
        <v>99.559786905585909</v>
      </c>
      <c r="V38" s="36">
        <f>Models!$B$19*Models!$I$19+(100-Models!$B$19*Models!$I$19)/(1+EXP(Models!$C$19*(ChartData!$B38-Models!$E$19+Models!$B$5*ChartData!$B38*Models!$F$19+Models!$B$4*Models!$G$19)))</f>
        <v>88.065515098337556</v>
      </c>
      <c r="W38" s="36">
        <f>Models!$B$56*EXP(-EXP(Models!$D$56*(ChartData!B38+Models!$C$56+Models!$B$5*Models!$E$56+Models!$B$4*Models!$F$56)))</f>
        <v>97.360299350072466</v>
      </c>
      <c r="X38" s="158">
        <f>Models!$B$20*Models!$I$20+(100-Models!$B$20*Models!$I$20)/(1+EXP(Models!$C$20*(ChartData!$B38-Models!$E$20+Models!$B$5*ChartData!$B38*Models!$F$20+Models!$B$4*Models!$G$20)))</f>
        <v>84.84684983865634</v>
      </c>
      <c r="Y38" s="158">
        <f>Models!$B$57*EXP(-EXP(Models!$D$57*(ChartData!B38+Models!$C$57+Models!$B$5*Models!$E$57+Models!$B$4*Models!$F$57)))</f>
        <v>99.273198686929575</v>
      </c>
      <c r="Z38" s="165">
        <f>Models!$B$21*Models!$I$21+(100-Models!$B$21*Models!$I$21)/(1+EXP(Models!$C$21*(ChartData!$B38-Models!$E$21+Models!$B$5*ChartData!$B38*Models!$F$21+Models!$B$4*Models!$G$21)))</f>
        <v>86.140673970235824</v>
      </c>
      <c r="AA38" s="165">
        <f>Models!$B$58*EXP(-EXP(Models!$D$58*(ChartData!B38+Models!$C$58+Models!$B$5*Models!$E$58+Models!$B$4*Models!$F$58)))</f>
        <v>99.410082095757744</v>
      </c>
      <c r="AB38" s="146">
        <f>200/(1+EXP(Models!$D$22*((Models!$E$22*Models!$B$4+Models!$B$5)*ChartData!B38)))</f>
        <v>93.727014043935299</v>
      </c>
      <c r="AC38" s="146">
        <f>100*EXP(-EXP(Models!$D$59*(ChartData!B38-Models!$C$59+Models!$E$59*Models!$B$4+Models!$F$59*Models!$B$5)))</f>
        <v>93.181741718351546</v>
      </c>
      <c r="AD38" s="149">
        <f>200/(1+EXP(Models!$D$23*((Models!$E$23*Models!$B$4+Models!$B$5)*ChartData!B38)))</f>
        <v>90.906251536182126</v>
      </c>
      <c r="AE38" s="149">
        <f>100*EXP(-EXP(Models!$D$60*(ChartData!B38-Models!$C$60+Models!$E$60*Models!$B$4+Models!$F$60*Models!$B$5)))</f>
        <v>97.033253199761333</v>
      </c>
      <c r="AF38" s="153">
        <f>200/(1+EXP(Models!$D$24*((Models!$E$24*Models!$B$4+Models!$B$5)*ChartData!B38)))</f>
        <v>90.007049366079727</v>
      </c>
      <c r="AG38" s="153">
        <f>100*EXP(-EXP(Models!$D$61*(ChartData!B38-Models!$C$61+Models!$E$61*Models!$B$4+Models!$F$61*Models!$B$5)))</f>
        <v>97.554822788080699</v>
      </c>
      <c r="AH38" s="266">
        <f>IF('Front Page'!$C$31&gt;0,1-'Front Page'!$C$31,"")</f>
        <v>0.995</v>
      </c>
      <c r="AI38" s="214">
        <f>Models!$B$25*Models!$I$25+(200-Models!$B$25*Models!$I$25)/(1+EXP(Models!$C$25*B38*(Models!$B$4*Models!$F$25+Models!$B$5+Models!$I$25*Models!$G$25)))</f>
        <v>91.46906034130096</v>
      </c>
      <c r="AJ38" s="214">
        <f>100*EXP(-EXP(Models!$D$62*(ChartData!B38-Models!$C$62+Models!$E$62*Models!$B$4+Models!$F$62*Models!$B$5)))</f>
        <v>97.360270641359307</v>
      </c>
      <c r="AK38" s="220">
        <f>Models!$B$26*Models!$I$26+(200-Models!$B$26*Models!$I$26)/(1+EXP(Models!$C$26*B38*(Models!$B$4*Models!$F$26+Models!$B$5+Models!$I$26*Models!$G$26)))</f>
        <v>87.946006359997313</v>
      </c>
      <c r="AL38" s="220">
        <f>100*EXP(-EXP(Models!$D$63*(ChartData!B38-Models!$C$63+Models!$E$63*Models!$B$4+Models!$F$63*Models!$B$5)))</f>
        <v>99.273128805674432</v>
      </c>
      <c r="AM38" s="226">
        <f>Models!$B$27*Models!$I$27+(200-Models!$B$27*Models!$I$27)/(1+EXP(Models!$C$27*B38*(Models!$B$4*Models!$F$27+Models!$B$5+Models!$I$27*Models!$G$27)))</f>
        <v>74.251278333583329</v>
      </c>
      <c r="AN38" s="226">
        <f>100*EXP(-EXP(Models!$D$64*(ChartData!B38-Models!$C$64+Models!$E$64*Models!$B$4+Models!$F$64*Models!$B$5)))</f>
        <v>99.410072278508395</v>
      </c>
      <c r="AO38" s="232">
        <f>Models!$B$28*Models!$I$28+(200-Models!$B$28*Models!$I$28)/(1+EXP(Models!$C$28*B38*(Models!$B$4*Models!$F$28+Models!$B$5+Models!$I$28*Models!$G$28)))</f>
        <v>90.173733505592878</v>
      </c>
      <c r="AP38" s="232">
        <f>100*EXP(-EXP(Models!$D$65*(ChartData!B38-Models!$C$65+Models!$E$65*Models!$B$4+Models!$F$65*Models!$B$5)))</f>
        <v>95.682828479362499</v>
      </c>
      <c r="AQ38" s="238">
        <f>Models!$B$29*Models!$I$29+(200-Models!$B$29*Models!$I$29)/(1+EXP(Models!$C$29*B38*(Models!$B$4*Models!$F$29+Models!$B$5+Models!$I$29*Models!$G$29)))</f>
        <v>85.629122070959383</v>
      </c>
      <c r="AR38" s="238">
        <f>100*EXP(-EXP(Models!$D$66*(ChartData!B38-Models!$C$66+Models!$E$66*Models!$B$4+Models!$F$66*Models!$B$5)))</f>
        <v>99.559742930955125</v>
      </c>
      <c r="AS38" s="244">
        <f>Models!$B$30*Models!$I$30+(200-Models!$B$30*Models!$I$30)/(1+EXP(Models!$C$30*B38*(Models!$B$4*Models!$F$30+Models!$B$5+Models!$I$30*Models!$G$30)))</f>
        <v>86.995435747379446</v>
      </c>
      <c r="AT38" s="244">
        <f>100*EXP(-EXP(Models!$D$67*(ChartData!B38-Models!$C$67+Models!$E$67*Models!$B$4+Models!$F$67*Models!$B$5)))</f>
        <v>98.626440453957642</v>
      </c>
    </row>
    <row r="39" spans="1:46" x14ac:dyDescent="0.2">
      <c r="A39" s="133" t="s">
        <v>294</v>
      </c>
      <c r="B39">
        <v>950</v>
      </c>
      <c r="C39">
        <f>1-'Front Page'!$C$30</f>
        <v>0.99630303030303036</v>
      </c>
      <c r="D39" s="45">
        <f t="shared" si="0"/>
        <v>84.842703537397128</v>
      </c>
      <c r="E39" s="45">
        <f t="shared" si="1"/>
        <v>99.67520378493407</v>
      </c>
      <c r="F39" s="36">
        <f>Equations!$E$4/(1+EXP(Equations!$F$4*ChartData!B39*(Equations!$G$4*Equations!$C$4+Equations!$D$4)))</f>
        <v>90.951512210619001</v>
      </c>
      <c r="G39" s="36">
        <f>Equations!$E$7*EXP(-EXP(-Equations!$F$7*(ChartData!B39-Equations!$G$7+Equations!$H$7*Equations!$C$7+Equations!$I$7*Equations!$D$7)))</f>
        <v>98.663676808582252</v>
      </c>
      <c r="H39" s="55">
        <f>Models!$B$13+Models!$C$13*EXP(Models!$D$13*ChartData!B39+(Models!$E$13*ChartData!B39*Models!$E$3))</f>
        <v>75.748109253018555</v>
      </c>
      <c r="I39" s="55">
        <f>Models!$B$50*EXP(-EXP(Models!$D$50*(ChartData!B39+Models!$C$50-(Models!$E$50*Models!$B$5))))</f>
        <v>94.506460807528612</v>
      </c>
      <c r="J39" s="57">
        <f>Models!$B$12/(1+EXP(Models!$D$12*(ChartData!B39-Models!$C$12+Models!$E$12*ChartData!B39*Models!$B$5)))</f>
        <v>1.5503585011837291E-7</v>
      </c>
      <c r="K39" s="61">
        <f>Models!$B$49*EXP(-EXP(Models!$D$49*(ChartData!B39-Models!$C$49+(Models!$E$49*ChartData!B39*Models!$B$5))))</f>
        <v>99.389252310653447</v>
      </c>
      <c r="L39" s="62">
        <f>Models!$B$15/(1+EXP(Models!$D$15*(ChartData!B39*(1+Models!$D$15*Models!$B$5)-Models!$C$15)))</f>
        <v>20.811648973974226</v>
      </c>
      <c r="M39" s="63">
        <f>Models!$B$52*EXP(-EXP(Models!$D$52*(ChartData!B39*(1+Models!$D$52*Models!$B$5)-Models!$C$52)))</f>
        <v>99.675407986928079</v>
      </c>
      <c r="N39" s="53">
        <f>Models!$B$15/(1+EXP(Models!$D$15*(ChartData!B39-Models!$D$15+Models!$E$15*ChartData!B39*Models!$B$5)))</f>
        <v>15.946031539850484</v>
      </c>
      <c r="O39" s="53">
        <f>Models!$B$52*EXP(-EXP(Models!$D$52*(ChartData!B39-Models!$C$52+Models!$E$52*ChartData!B39*Models!$B$5)))</f>
        <v>99.847860419960213</v>
      </c>
      <c r="P39" s="172">
        <f>Models!$B$16*Models!$I$16+(100-Models!$B$16*Models!$I$16)/(1+EXP(Models!$C$16*(ChartData!B39-Models!$E$16+Models!$B$4*Models!$F$16+Models!$B$4*Models!$G$16*Models!$I$16+Models!$B$5*Models!$H$16)))</f>
        <v>90.039335852287948</v>
      </c>
      <c r="Q39" s="172">
        <f>Models!$B$53*EXP(-EXP(Models!$D$53*(ChartData!B39+Models!$C$53+Models!$B$5*Models!$E$53+Models!$B$4*Models!$F$53)))</f>
        <v>99.460745329217488</v>
      </c>
      <c r="R39" s="136">
        <f>Models!$B$17*Models!$I$17+(100-Models!$B$17*Models!$I$17)/(1+EXP(Models!$C$17*(ChartData!B39-Models!$E$17+Models!$B$4*Models!$F$17+Models!$B$4*Models!$G$17*Models!$I$17+Models!$B$5*Models!$H$17)))</f>
        <v>94.305707809696557</v>
      </c>
      <c r="S39" s="136">
        <f>Models!$B$54*EXP(-EXP(Models!$D$54*(ChartData!B39+Models!$C$54+Models!$B$5*Models!$E$54+Models!$B$4*Models!$F$54)))</f>
        <v>96.405181103404374</v>
      </c>
      <c r="T39" s="180">
        <f>Models!$B$18*Models!$I$18+(100-Models!$B$18*Models!$I$18)/(1+EXP(Models!$C$18*(ChartData!B39-Models!$E$18+Models!$B$4*Models!$F$18+Models!$B$4*Models!$G$18*Models!$I$18+Models!$B$5*Models!$H$18)))</f>
        <v>87.95179047023997</v>
      </c>
      <c r="U39" s="180">
        <f>Models!$B$55*EXP(-EXP(Models!$D$55*(ChartData!B39+Models!$C$55+Models!$B$5*Models!$E$55+Models!$B$4*Models!$F$55)))</f>
        <v>99.675237866866013</v>
      </c>
      <c r="V39" s="36">
        <f>Models!$B$19*Models!$I$19+(100-Models!$B$19*Models!$I$19)/(1+EXP(Models!$C$19*(ChartData!$B39-Models!$E$19+Models!$B$5*ChartData!$B39*Models!$F$19+Models!$B$4*Models!$G$19)))</f>
        <v>87.73416840333816</v>
      </c>
      <c r="W39" s="36">
        <f>Models!$B$56*EXP(-EXP(Models!$D$56*(ChartData!B39+Models!$C$56+Models!$B$5*Models!$E$56+Models!$B$4*Models!$F$56)))</f>
        <v>97.697029899607045</v>
      </c>
      <c r="X39" s="158">
        <f>Models!$B$20*Models!$I$20+(100-Models!$B$20*Models!$I$20)/(1+EXP(Models!$C$20*(ChartData!$B39-Models!$E$20+Models!$B$5*ChartData!$B39*Models!$F$20+Models!$B$4*Models!$G$20)))</f>
        <v>84.246736131240411</v>
      </c>
      <c r="Y39" s="158">
        <f>Models!$B$57*EXP(-EXP(Models!$D$57*(ChartData!B39+Models!$C$57+Models!$B$5*Models!$E$57+Models!$B$4*Models!$F$57)))</f>
        <v>99.409900936323666</v>
      </c>
      <c r="Z39" s="165">
        <f>Models!$B$21*Models!$I$21+(100-Models!$B$21*Models!$I$21)/(1+EXP(Models!$C$21*(ChartData!$B39-Models!$E$21+Models!$B$5*ChartData!$B39*Models!$F$21+Models!$B$4*Models!$G$21)))</f>
        <v>85.542588394762362</v>
      </c>
      <c r="AA39" s="165">
        <f>Models!$B$58*EXP(-EXP(Models!$D$58*(ChartData!B39+Models!$C$58+Models!$B$5*Models!$E$58+Models!$B$4*Models!$F$58)))</f>
        <v>99.526608091026716</v>
      </c>
      <c r="AB39" s="146">
        <f>200/(1+EXP(Models!$D$22*((Models!$E$22*Models!$B$4+Models!$B$5)*ChartData!B39)))</f>
        <v>93.379507262650293</v>
      </c>
      <c r="AC39" s="146">
        <f>100*EXP(-EXP(Models!$D$59*(ChartData!B39-Models!$C$59+Models!$E$59*Models!$B$4+Models!$F$59*Models!$B$5)))</f>
        <v>93.790511945460622</v>
      </c>
      <c r="AD39" s="149">
        <f>200/(1+EXP(Models!$D$23*((Models!$E$23*Models!$B$4+Models!$B$5)*ChartData!B39)))</f>
        <v>90.40406881671403</v>
      </c>
      <c r="AE39" s="149">
        <f>100*EXP(-EXP(Models!$D$60*(ChartData!B39-Models!$C$60+Models!$E$60*Models!$B$4+Models!$F$60*Models!$B$5)))</f>
        <v>97.424614704216822</v>
      </c>
      <c r="AF39" s="153">
        <f>200/(1+EXP(Models!$D$24*((Models!$E$24*Models!$B$4+Models!$B$5)*ChartData!B39)))</f>
        <v>89.45590121768646</v>
      </c>
      <c r="AG39" s="153">
        <f>100*EXP(-EXP(Models!$D$61*(ChartData!B39-Models!$C$61+Models!$E$61*Models!$B$4+Models!$F$61*Models!$B$5)))</f>
        <v>97.900613877514942</v>
      </c>
      <c r="AH39" s="266">
        <f>IF('Front Page'!$C$31&gt;0,1-'Front Page'!$C$31,"")</f>
        <v>0.995</v>
      </c>
      <c r="AI39" s="214">
        <f>Models!$B$25*Models!$I$25+(200-Models!$B$25*Models!$I$25)/(1+EXP(Models!$C$25*B39*(Models!$B$4*Models!$F$25+Models!$B$5+Models!$I$25*Models!$G$25)))</f>
        <v>90.997616695673116</v>
      </c>
      <c r="AJ39" s="214">
        <f>100*EXP(-EXP(Models!$D$62*(ChartData!B39-Models!$C$62+Models!$E$62*Models!$B$4+Models!$F$62*Models!$B$5)))</f>
        <v>97.697004809633015</v>
      </c>
      <c r="AK39" s="220">
        <f>Models!$B$26*Models!$I$26+(200-Models!$B$26*Models!$I$26)/(1+EXP(Models!$C$26*B39*(Models!$B$4*Models!$F$26+Models!$B$5+Models!$I$26*Models!$G$26)))</f>
        <v>87.283393281369456</v>
      </c>
      <c r="AL39" s="220">
        <f>100*EXP(-EXP(Models!$D$63*(ChartData!B39-Models!$C$63+Models!$E$63*Models!$B$4+Models!$F$63*Models!$B$5)))</f>
        <v>99.409841217699622</v>
      </c>
      <c r="AM39" s="226">
        <f>Models!$B$27*Models!$I$27+(200-Models!$B$27*Models!$I$27)/(1+EXP(Models!$C$27*B39*(Models!$B$4*Models!$F$27+Models!$B$5+Models!$I$27*Models!$G$27)))</f>
        <v>72.570260401185507</v>
      </c>
      <c r="AN39" s="226">
        <f>100*EXP(-EXP(Models!$D$64*(ChartData!B39-Models!$C$64+Models!$E$64*Models!$B$4+Models!$F$64*Models!$B$5)))</f>
        <v>99.526600208350445</v>
      </c>
      <c r="AO39" s="232">
        <f>Models!$B$28*Models!$I$28+(200-Models!$B$28*Models!$I$28)/(1+EXP(Models!$C$28*B39*(Models!$B$4*Models!$F$28+Models!$B$5+Models!$I$28*Models!$G$28)))</f>
        <v>89.631647772921028</v>
      </c>
      <c r="AP39" s="232">
        <f>100*EXP(-EXP(Models!$D$65*(ChartData!B39-Models!$C$65+Models!$E$65*Models!$B$4+Models!$F$65*Models!$B$5)))</f>
        <v>96.405844294944941</v>
      </c>
      <c r="AQ39" s="238">
        <f>Models!$B$29*Models!$I$29+(200-Models!$B$29*Models!$I$29)/(1+EXP(Models!$C$29*B39*(Models!$B$4*Models!$F$29+Models!$B$5+Models!$I$29*Models!$G$29)))</f>
        <v>84.842703537397128</v>
      </c>
      <c r="AR39" s="238">
        <f>100*EXP(-EXP(Models!$D$66*(ChartData!B39-Models!$C$66+Models!$E$66*Models!$B$4+Models!$F$66*Models!$B$5)))</f>
        <v>99.67520378493407</v>
      </c>
      <c r="AS39" s="244">
        <f>Models!$B$30*Models!$I$30+(200-Models!$B$30*Models!$I$30)/(1+EXP(Models!$C$30*B39*(Models!$B$4*Models!$F$30+Models!$B$5+Models!$I$30*Models!$G$30)))</f>
        <v>86.030726414461299</v>
      </c>
      <c r="AT39" s="244">
        <f>100*EXP(-EXP(Models!$D$67*(ChartData!B39-Models!$C$67+Models!$E$67*Models!$B$4+Models!$F$67*Models!$B$5)))</f>
        <v>98.925643343587097</v>
      </c>
    </row>
    <row r="40" spans="1:46" x14ac:dyDescent="0.2">
      <c r="B40">
        <v>1000</v>
      </c>
      <c r="C40">
        <f>1-'Front Page'!$C$30</f>
        <v>0.99630303030303036</v>
      </c>
      <c r="D40" s="45">
        <f t="shared" si="0"/>
        <v>84.05819923705964</v>
      </c>
      <c r="E40" s="45">
        <f t="shared" si="1"/>
        <v>99.760420562241904</v>
      </c>
      <c r="F40" s="36">
        <f>Equations!$E$4/(1+EXP(Equations!$F$4*ChartData!B40*(Equations!$G$4*Equations!$C$4+Equations!$D$4)))</f>
        <v>90.478087910002358</v>
      </c>
      <c r="G40" s="36">
        <f>Equations!$E$7*EXP(-EXP(-Equations!$F$7*(ChartData!B40-Equations!$G$7+Equations!$H$7*Equations!$C$7+Equations!$I$7*Equations!$D$7)))</f>
        <v>98.868907727411909</v>
      </c>
      <c r="H40" s="55">
        <f>Models!$B$13+Models!$C$13*EXP(Models!$D$13*ChartData!B40+(Models!$E$13*ChartData!B40*Models!$E$3))</f>
        <v>74.694927549330231</v>
      </c>
      <c r="I40" s="55">
        <f>Models!$B$50*EXP(-EXP(Models!$D$50*(ChartData!B40+Models!$C$50-(Models!$E$50*Models!$B$5))))</f>
        <v>95.081139440036139</v>
      </c>
      <c r="J40" s="57">
        <f>Models!$B$12/(1+EXP(Models!$D$12*(ChartData!B40-Models!$C$12+Models!$E$12*ChartData!B40*Models!$B$5)))</f>
        <v>2.4904696056554536E-8</v>
      </c>
      <c r="K40" s="61">
        <f>Models!$B$49*EXP(-EXP(Models!$D$49*(ChartData!B40-Models!$C$49+(Models!$E$49*ChartData!B40*Models!$B$5))))</f>
        <v>99.569490648093321</v>
      </c>
      <c r="L40" s="62">
        <f>Models!$B$15/(1+EXP(Models!$D$15*(ChartData!B40*(1+Models!$D$15*Models!$B$5)-Models!$C$15)))</f>
        <v>18.763631356782554</v>
      </c>
      <c r="M40" s="63">
        <f>Models!$B$52*EXP(-EXP(Models!$D$52*(ChartData!B40*(1+Models!$D$52*Models!$B$5)-Models!$C$52)))</f>
        <v>99.778598305963882</v>
      </c>
      <c r="N40" s="53">
        <f>Models!$B$15/(1+EXP(Models!$D$15*(ChartData!B40-Models!$D$15+Models!$E$15*ChartData!B40*Models!$B$5)))</f>
        <v>14.156156593466443</v>
      </c>
      <c r="O40" s="53">
        <f>Models!$B$52*EXP(-EXP(Models!$D$52*(ChartData!B40-Models!$C$52+Models!$E$52*ChartData!B40*Models!$B$5)))</f>
        <v>99.90031399581774</v>
      </c>
      <c r="P40" s="172">
        <f>Models!$B$16*Models!$I$16+(100-Models!$B$16*Models!$I$16)/(1+EXP(Models!$C$16*(ChartData!B40-Models!$E$16+Models!$B$4*Models!$F$16+Models!$B$4*Models!$G$16*Models!$I$16+Models!$B$5*Models!$H$16)))</f>
        <v>88.963840473415246</v>
      </c>
      <c r="Q40" s="172">
        <f>Models!$B$53*EXP(-EXP(Models!$D$53*(ChartData!B40+Models!$C$53+Models!$B$5*Models!$E$53+Models!$B$4*Models!$F$53)))</f>
        <v>99.592337952120829</v>
      </c>
      <c r="R40" s="136">
        <f>Models!$B$17*Models!$I$17+(100-Models!$B$17*Models!$I$17)/(1+EXP(Models!$C$17*(ChartData!B40-Models!$E$17+Models!$B$4*Models!$F$17+Models!$B$4*Models!$G$17*Models!$I$17+Models!$B$5*Models!$H$17)))</f>
        <v>93.797887723314673</v>
      </c>
      <c r="S40" s="136">
        <f>Models!$B$54*EXP(-EXP(Models!$D$54*(ChartData!B40+Models!$C$54+Models!$B$5*Models!$E$54+Models!$B$4*Models!$F$54)))</f>
        <v>97.009116901406699</v>
      </c>
      <c r="T40" s="180">
        <f>Models!$B$18*Models!$I$18+(100-Models!$B$18*Models!$I$18)/(1+EXP(Models!$C$18*(ChartData!B40-Models!$E$18+Models!$B$4*Models!$F$18+Models!$B$4*Models!$G$18*Models!$I$18+Models!$B$5*Models!$H$18)))</f>
        <v>86.462328903889642</v>
      </c>
      <c r="U40" s="180">
        <f>Models!$B$55*EXP(-EXP(Models!$D$55*(ChartData!B40+Models!$C$55+Models!$B$5*Models!$E$55+Models!$B$4*Models!$F$55)))</f>
        <v>99.760446909178839</v>
      </c>
      <c r="V40" s="36">
        <f>Models!$B$19*Models!$I$19+(100-Models!$B$19*Models!$I$19)/(1+EXP(Models!$C$19*(ChartData!$B40-Models!$E$19+Models!$B$5*ChartData!$B40*Models!$F$19+Models!$B$4*Models!$G$19)))</f>
        <v>87.394939005742344</v>
      </c>
      <c r="W40" s="36">
        <f>Models!$B$56*EXP(-EXP(Models!$D$56*(ChartData!B40+Models!$C$56+Models!$B$5*Models!$E$56+Models!$B$4*Models!$F$56)))</f>
        <v>97.99124989365518</v>
      </c>
      <c r="X40" s="158">
        <f>Models!$B$20*Models!$I$20+(100-Models!$B$20*Models!$I$20)/(1+EXP(Models!$C$20*(ChartData!$B40-Models!$E$20+Models!$B$5*ChartData!$B40*Models!$F$20+Models!$B$4*Models!$G$20)))</f>
        <v>83.627442097399381</v>
      </c>
      <c r="Y40" s="158">
        <f>Models!$B$57*EXP(-EXP(Models!$D$57*(ChartData!B40+Models!$C$57+Models!$B$5*Models!$E$57+Models!$B$4*Models!$F$57)))</f>
        <v>99.520953258284322</v>
      </c>
      <c r="Z40" s="165">
        <f>Models!$B$21*Models!$I$21+(100-Models!$B$21*Models!$I$21)/(1+EXP(Models!$C$21*(ChartData!$B40-Models!$E$21+Models!$B$5*ChartData!$B40*Models!$F$21+Models!$B$4*Models!$G$21)))</f>
        <v>84.924011712830492</v>
      </c>
      <c r="AA40" s="165">
        <f>Models!$B$58*EXP(-EXP(Models!$D$58*(ChartData!B40+Models!$C$58+Models!$B$5*Models!$E$58+Models!$B$4*Models!$F$58)))</f>
        <v>99.620160787377401</v>
      </c>
      <c r="AB40" s="146">
        <f>200/(1+EXP(Models!$D$22*((Models!$E$22*Models!$B$4+Models!$B$5)*ChartData!B40)))</f>
        <v>93.032161010530359</v>
      </c>
      <c r="AC40" s="146">
        <f>100*EXP(-EXP(Models!$D$59*(ChartData!B40-Models!$C$59+Models!$E$59*Models!$B$4+Models!$F$59*Models!$B$5)))</f>
        <v>94.346589211109816</v>
      </c>
      <c r="AD40" s="149">
        <f>200/(1+EXP(Models!$D$23*((Models!$E$23*Models!$B$4+Models!$B$5)*ChartData!B40)))</f>
        <v>89.902374115414347</v>
      </c>
      <c r="AE40" s="149">
        <f>100*EXP(-EXP(Models!$D$60*(ChartData!B40-Models!$C$60+Models!$E$60*Models!$B$4+Models!$F$60*Models!$B$5)))</f>
        <v>97.764945373145565</v>
      </c>
      <c r="AF40" s="153">
        <f>200/(1+EXP(Models!$D$24*((Models!$E$24*Models!$B$4+Models!$B$5)*ChartData!B40)))</f>
        <v>88.905400094893949</v>
      </c>
      <c r="AG40" s="153">
        <f>100*EXP(-EXP(Models!$D$61*(ChartData!B40-Models!$C$61+Models!$E$61*Models!$B$4+Models!$F$61*Models!$B$5)))</f>
        <v>98.197956509471823</v>
      </c>
      <c r="AH40" s="266">
        <f>IF('Front Page'!$C$31&gt;0,1-'Front Page'!$C$31,"")</f>
        <v>0.995</v>
      </c>
      <c r="AI40" s="214">
        <f>Models!$B$25*Models!$I$25+(200-Models!$B$25*Models!$I$25)/(1+EXP(Models!$C$25*B40*(Models!$B$4*Models!$F$25+Models!$B$5+Models!$I$25*Models!$G$25)))</f>
        <v>90.526576147044366</v>
      </c>
      <c r="AJ40" s="214">
        <f>100*EXP(-EXP(Models!$D$62*(ChartData!B40-Models!$C$62+Models!$E$62*Models!$B$4+Models!$F$62*Models!$B$5)))</f>
        <v>97.991227976046318</v>
      </c>
      <c r="AK40" s="220">
        <f>Models!$B$26*Models!$I$26+(200-Models!$B$26*Models!$I$26)/(1+EXP(Models!$C$26*B40*(Models!$B$4*Models!$F$26+Models!$B$5+Models!$I$26*Models!$G$26)))</f>
        <v>86.621913277154093</v>
      </c>
      <c r="AL40" s="220">
        <f>100*EXP(-EXP(Models!$D$63*(ChartData!B40-Models!$C$63+Models!$E$63*Models!$B$4+Models!$F$63*Models!$B$5)))</f>
        <v>99.520902361434977</v>
      </c>
      <c r="AM40" s="226">
        <f>Models!$B$27*Models!$I$27+(200-Models!$B$27*Models!$I$27)/(1+EXP(Models!$C$27*B40*(Models!$B$4*Models!$F$27+Models!$B$5+Models!$I$27*Models!$G$27)))</f>
        <v>70.916206710202459</v>
      </c>
      <c r="AN40" s="226">
        <f>100*EXP(-EXP(Models!$D$64*(ChartData!B40-Models!$C$64+Models!$E$64*Models!$B$4+Models!$F$64*Models!$B$5)))</f>
        <v>99.620154459517963</v>
      </c>
      <c r="AO40" s="232">
        <f>Models!$B$28*Models!$I$28+(200-Models!$B$28*Models!$I$28)/(1+EXP(Models!$C$28*B40*(Models!$B$4*Models!$F$28+Models!$B$5+Models!$I$28*Models!$G$28)))</f>
        <v>89.090177325542228</v>
      </c>
      <c r="AP40" s="232">
        <f>100*EXP(-EXP(Models!$D$65*(ChartData!B40-Models!$C$65+Models!$E$65*Models!$B$4+Models!$F$65*Models!$B$5)))</f>
        <v>97.009670410553966</v>
      </c>
      <c r="AQ40" s="238">
        <f>Models!$B$29*Models!$I$29+(200-Models!$B$29*Models!$I$29)/(1+EXP(Models!$C$29*B40*(Models!$B$4*Models!$F$29+Models!$B$5+Models!$I$29*Models!$G$29)))</f>
        <v>84.05819923705964</v>
      </c>
      <c r="AR40" s="238">
        <f>100*EXP(-EXP(Models!$D$66*(ChartData!B40-Models!$C$66+Models!$E$66*Models!$B$4+Models!$F$66*Models!$B$5)))</f>
        <v>99.760420562241904</v>
      </c>
      <c r="AS40" s="244">
        <f>Models!$B$30*Models!$I$30+(200-Models!$B$30*Models!$I$30)/(1+EXP(Models!$C$30*B40*(Models!$B$4*Models!$F$30+Models!$B$5+Models!$I$30*Models!$G$30)))</f>
        <v>85.07001565221357</v>
      </c>
      <c r="AT40" s="244">
        <f>100*EXP(-EXP(Models!$D$67*(ChartData!B40-Models!$C$67+Models!$E$67*Models!$B$4+Models!$F$67*Models!$B$5)))</f>
        <v>99.159948453896234</v>
      </c>
    </row>
    <row r="41" spans="1:46" x14ac:dyDescent="0.2">
      <c r="A41" s="134" t="s">
        <v>302</v>
      </c>
      <c r="B41">
        <v>1050</v>
      </c>
      <c r="C41">
        <f>1-'Front Page'!$C$30</f>
        <v>0.99630303030303036</v>
      </c>
      <c r="D41" s="45">
        <f t="shared" si="0"/>
        <v>83.275703218807934</v>
      </c>
      <c r="E41" s="45">
        <f t="shared" si="1"/>
        <v>99.823298833441626</v>
      </c>
      <c r="F41" s="36">
        <f>Equations!$E$4/(1+EXP(Equations!$F$4*ChartData!B41*(Equations!$G$4*Equations!$C$4+Equations!$D$4)))</f>
        <v>90.00509395350231</v>
      </c>
      <c r="G41" s="36">
        <f>Equations!$E$7*EXP(-EXP(-Equations!$F$7*(ChartData!B41-Equations!$G$7+Equations!$H$7*Equations!$C$7+Equations!$I$7*Equations!$D$7)))</f>
        <v>99.042772564219902</v>
      </c>
      <c r="H41" s="55">
        <f>Models!$B$13+Models!$C$13*EXP(Models!$D$13*ChartData!B41+(Models!$E$13*ChartData!B41*Models!$E$3))</f>
        <v>73.661257342427945</v>
      </c>
      <c r="I41" s="55">
        <f>Models!$B$50*EXP(-EXP(Models!$D$50*(ChartData!B41+Models!$C$50-(Models!$E$50*Models!$B$5))))</f>
        <v>95.597109047293912</v>
      </c>
      <c r="J41" s="57">
        <f>Models!$B$12/(1+EXP(Models!$D$12*(ChartData!B41-Models!$C$12+Models!$E$12*ChartData!B41*Models!$B$5)))</f>
        <v>4.0006481380654771E-9</v>
      </c>
      <c r="K41" s="61">
        <f>Models!$B$49*EXP(-EXP(Models!$D$49*(ChartData!B41-Models!$C$49+(Models!$E$49*ChartData!B41*Models!$B$5))))</f>
        <v>99.696619848897456</v>
      </c>
      <c r="L41" s="62">
        <f>Models!$B$15/(1+EXP(Models!$D$15*(ChartData!B41*(1+Models!$D$15*Models!$B$5)-Models!$C$15)))</f>
        <v>16.898147590389758</v>
      </c>
      <c r="M41" s="63">
        <f>Models!$B$52*EXP(-EXP(Models!$D$52*(ChartData!B41*(1+Models!$D$52*Models!$B$5)-Models!$C$52)))</f>
        <v>99.849008466788504</v>
      </c>
      <c r="N41" s="53">
        <f>Models!$B$15/(1+EXP(Models!$D$15*(ChartData!B41-Models!$D$15+Models!$E$15*ChartData!B41*Models!$B$5)))</f>
        <v>12.553484698275833</v>
      </c>
      <c r="O41" s="53">
        <f>Models!$B$52*EXP(-EXP(Models!$D$52*(ChartData!B41-Models!$C$52+Models!$E$52*ChartData!B41*Models!$B$5)))</f>
        <v>99.934688924206355</v>
      </c>
      <c r="P41" s="172">
        <f>Models!$B$16*Models!$I$16+(100-Models!$B$16*Models!$I$16)/(1+EXP(Models!$C$16*(ChartData!B41-Models!$E$16+Models!$B$4*Models!$F$16+Models!$B$4*Models!$G$16*Models!$I$16+Models!$B$5*Models!$H$16)))</f>
        <v>87.787969412093048</v>
      </c>
      <c r="Q41" s="172">
        <f>Models!$B$53*EXP(-EXP(Models!$D$53*(ChartData!B41+Models!$C$53+Models!$B$5*Models!$E$53+Models!$B$4*Models!$F$53)))</f>
        <v>99.691868186487326</v>
      </c>
      <c r="R41" s="136">
        <f>Models!$B$17*Models!$I$17+(100-Models!$B$17*Models!$I$17)/(1+EXP(Models!$C$17*(ChartData!B41-Models!$E$17+Models!$B$4*Models!$F$17+Models!$B$4*Models!$G$17*Models!$I$17+Models!$B$5*Models!$H$17)))</f>
        <v>93.24802241234201</v>
      </c>
      <c r="S41" s="136">
        <f>Models!$B$54*EXP(-EXP(Models!$D$54*(ChartData!B41+Models!$C$54+Models!$B$5*Models!$E$54+Models!$B$4*Models!$F$54)))</f>
        <v>97.512901990260403</v>
      </c>
      <c r="T41" s="180">
        <f>Models!$B$18*Models!$I$18+(100-Models!$B$18*Models!$I$18)/(1+EXP(Models!$C$18*(ChartData!B41-Models!$E$18+Models!$B$4*Models!$F$18+Models!$B$4*Models!$G$18*Models!$I$18+Models!$B$5*Models!$H$18)))</f>
        <v>84.823766551688124</v>
      </c>
      <c r="U41" s="180">
        <f>Models!$B$55*EXP(-EXP(Models!$D$55*(ChartData!B41+Models!$C$55+Models!$B$5*Models!$E$55+Models!$B$4*Models!$F$55)))</f>
        <v>99.823319154303732</v>
      </c>
      <c r="V41" s="36">
        <f>Models!$B$19*Models!$I$19+(100-Models!$B$19*Models!$I$19)/(1+EXP(Models!$C$19*(ChartData!$B41-Models!$E$19+Models!$B$5*ChartData!$B41*Models!$F$19+Models!$B$4*Models!$G$19)))</f>
        <v>87.047712783250589</v>
      </c>
      <c r="W41" s="36">
        <f>Models!$B$56*EXP(-EXP(Models!$D$56*(ChartData!B41+Models!$C$56+Models!$B$5*Models!$E$56+Models!$B$4*Models!$F$56)))</f>
        <v>98.248218945763398</v>
      </c>
      <c r="X41" s="158">
        <f>Models!$B$20*Models!$I$20+(100-Models!$B$20*Models!$I$20)/(1+EXP(Models!$C$20*(ChartData!$B41-Models!$E$20+Models!$B$5*ChartData!$B41*Models!$F$20+Models!$B$4*Models!$G$20)))</f>
        <v>82.988718255765264</v>
      </c>
      <c r="Y41" s="158">
        <f>Models!$B$57*EXP(-EXP(Models!$D$57*(ChartData!B41+Models!$C$57+Models!$B$5*Models!$E$57+Models!$B$4*Models!$F$57)))</f>
        <v>99.611147232743605</v>
      </c>
      <c r="Z41" s="165">
        <f>Models!$B$21*Models!$I$21+(100-Models!$B$21*Models!$I$21)/(1+EXP(Models!$C$21*(ChartData!$B41-Models!$E$21+Models!$B$5*ChartData!$B41*Models!$F$21+Models!$B$4*Models!$G$21)))</f>
        <v>84.284700690346483</v>
      </c>
      <c r="AA41" s="165">
        <f>Models!$B$58*EXP(-EXP(Models!$D$58*(ChartData!B41+Models!$C$58+Models!$B$5*Models!$E$58+Models!$B$4*Models!$F$58)))</f>
        <v>99.695253715156724</v>
      </c>
      <c r="AB41" s="146">
        <f>200/(1+EXP(Models!$D$22*((Models!$E$22*Models!$B$4+Models!$B$5)*ChartData!B41)))</f>
        <v>92.684983629696447</v>
      </c>
      <c r="AC41" s="146">
        <f>100*EXP(-EXP(Models!$D$59*(ChartData!B41-Models!$C$59+Models!$E$59*Models!$B$4+Models!$F$59*Models!$B$5)))</f>
        <v>94.854243592116077</v>
      </c>
      <c r="AD41" s="149">
        <f>200/(1+EXP(Models!$D$23*((Models!$E$23*Models!$B$4+Models!$B$5)*ChartData!B41)))</f>
        <v>89.401192434779844</v>
      </c>
      <c r="AE41" s="149">
        <f>100*EXP(-EXP(Models!$D$60*(ChartData!B41-Models!$C$60+Models!$E$60*Models!$B$4+Models!$F$60*Models!$B$5)))</f>
        <v>98.060750748437073</v>
      </c>
      <c r="AF41" s="153">
        <f>200/(1+EXP(Models!$D$24*((Models!$E$24*Models!$B$4+Models!$B$5)*ChartData!B41)))</f>
        <v>88.355578958445832</v>
      </c>
      <c r="AG41" s="153">
        <f>100*EXP(-EXP(Models!$D$61*(ChartData!B41-Models!$C$61+Models!$E$61*Models!$B$4+Models!$F$61*Models!$B$5)))</f>
        <v>98.45351872319938</v>
      </c>
      <c r="AH41" s="266">
        <f>IF('Front Page'!$C$31&gt;0,1-'Front Page'!$C$31,"")</f>
        <v>0.995</v>
      </c>
      <c r="AI41" s="214">
        <f>Models!$B$25*Models!$I$25+(200-Models!$B$25*Models!$I$25)/(1+EXP(Models!$C$25*B41*(Models!$B$4*Models!$F$25+Models!$B$5+Models!$I$25*Models!$G$25)))</f>
        <v>90.055959414881997</v>
      </c>
      <c r="AJ41" s="214">
        <f>100*EXP(-EXP(Models!$D$62*(ChartData!B41-Models!$C$62+Models!$E$62*Models!$B$4+Models!$F$62*Models!$B$5)))</f>
        <v>98.248199806836453</v>
      </c>
      <c r="AK41" s="220">
        <f>Models!$B$26*Models!$I$26+(200-Models!$B$26*Models!$I$26)/(1+EXP(Models!$C$26*B41*(Models!$B$4*Models!$F$26+Models!$B$5+Models!$I$26*Models!$G$26)))</f>
        <v>85.961623195231596</v>
      </c>
      <c r="AL41" s="220">
        <f>100*EXP(-EXP(Models!$D$63*(ChartData!B41-Models!$C$63+Models!$E$63*Models!$B$4+Models!$F$63*Models!$B$5)))</f>
        <v>99.611103959230675</v>
      </c>
      <c r="AM41" s="226">
        <f>Models!$B$27*Models!$I$27+(200-Models!$B$27*Models!$I$27)/(1+EXP(Models!$C$27*B41*(Models!$B$4*Models!$F$27+Models!$B$5+Models!$I$27*Models!$G$27)))</f>
        <v>69.28992041492927</v>
      </c>
      <c r="AN41" s="226">
        <f>100*EXP(-EXP(Models!$D$64*(ChartData!B41-Models!$C$64+Models!$E$64*Models!$B$4+Models!$F$64*Models!$B$5)))</f>
        <v>99.695248636379489</v>
      </c>
      <c r="AO41" s="232">
        <f>Models!$B$28*Models!$I$28+(200-Models!$B$28*Models!$I$28)/(1+EXP(Models!$C$28*B41*(Models!$B$4*Models!$F$28+Models!$B$5+Models!$I$28*Models!$G$28)))</f>
        <v>88.549353541731037</v>
      </c>
      <c r="AP41" s="232">
        <f>100*EXP(-EXP(Models!$D$65*(ChartData!B41-Models!$C$65+Models!$E$65*Models!$B$4+Models!$F$65*Models!$B$5)))</f>
        <v>97.513363465096532</v>
      </c>
      <c r="AQ41" s="238">
        <f>Models!$B$29*Models!$I$29+(200-Models!$B$29*Models!$I$29)/(1+EXP(Models!$C$29*B41*(Models!$B$4*Models!$F$29+Models!$B$5+Models!$I$29*Models!$G$29)))</f>
        <v>83.275703218807934</v>
      </c>
      <c r="AR41" s="238">
        <f>100*EXP(-EXP(Models!$D$66*(ChartData!B41-Models!$C$66+Models!$E$66*Models!$B$4+Models!$F$66*Models!$B$5)))</f>
        <v>99.823298833441626</v>
      </c>
      <c r="AS41" s="244">
        <f>Models!$B$30*Models!$I$30+(200-Models!$B$30*Models!$I$30)/(1+EXP(Models!$C$30*B41*(Models!$B$4*Models!$F$30+Models!$B$5+Models!$I$30*Models!$G$30)))</f>
        <v>84.113490107881276</v>
      </c>
      <c r="AT41" s="244">
        <f>100*EXP(-EXP(Models!$D$67*(ChartData!B41-Models!$C$67+Models!$E$67*Models!$B$4+Models!$F$67*Models!$B$5)))</f>
        <v>99.343323906472193</v>
      </c>
    </row>
    <row r="42" spans="1:46" x14ac:dyDescent="0.2">
      <c r="A42" s="134" t="s">
        <v>232</v>
      </c>
      <c r="B42">
        <v>1100</v>
      </c>
      <c r="C42">
        <f>1-'Front Page'!$C$30</f>
        <v>0.99630303030303036</v>
      </c>
      <c r="D42" s="45">
        <f t="shared" si="0"/>
        <v>82.495308532808025</v>
      </c>
      <c r="E42" s="45">
        <f t="shared" si="1"/>
        <v>99.86968531089812</v>
      </c>
      <c r="F42" s="36">
        <f>Equations!$E$4/(1+EXP(Equations!$F$4*ChartData!B42*(Equations!$G$4*Equations!$C$4+Equations!$D$4)))</f>
        <v>89.532551297340419</v>
      </c>
      <c r="G42" s="36">
        <f>Equations!$E$7*EXP(-EXP(-Equations!$F$7*(ChartData!B42-Equations!$G$7+Equations!$H$7*Equations!$C$7+Equations!$I$7*Equations!$D$7)))</f>
        <v>99.190021481011144</v>
      </c>
      <c r="H42" s="55">
        <f>Models!$B$13+Models!$C$13*EXP(Models!$D$13*ChartData!B42+(Models!$E$13*ChartData!B42*Models!$E$3))</f>
        <v>72.646737157643599</v>
      </c>
      <c r="I42" s="55">
        <f>Models!$B$50*EXP(-EXP(Models!$D$50*(ChartData!B42+Models!$C$50-(Models!$E$50*Models!$B$5))))</f>
        <v>96.060082274773819</v>
      </c>
      <c r="J42" s="57">
        <f>Models!$B$12/(1+EXP(Models!$D$12*(ChartData!B42-Models!$C$12+Models!$E$12*ChartData!B42*Models!$B$5)))</f>
        <v>6.426573320124342E-10</v>
      </c>
      <c r="K42" s="61">
        <f>Models!$B$49*EXP(-EXP(Models!$D$49*(ChartData!B42-Models!$C$49+(Models!$E$49*ChartData!B42*Models!$B$5))))</f>
        <v>99.786248152161818</v>
      </c>
      <c r="L42" s="62">
        <f>Models!$B$15/(1+EXP(Models!$D$15*(ChartData!B42*(1+Models!$D$15*Models!$B$5)-Models!$C$15)))</f>
        <v>15.202573143462969</v>
      </c>
      <c r="M42" s="63">
        <f>Models!$B$52*EXP(-EXP(Models!$D$52*(ChartData!B42*(1+Models!$D$52*Models!$B$5)-Models!$C$52)))</f>
        <v>99.89703834249724</v>
      </c>
      <c r="N42" s="53">
        <f>Models!$B$15/(1+EXP(Models!$D$15*(ChartData!B42-Models!$D$15+Models!$E$15*ChartData!B42*Models!$B$5)))</f>
        <v>11.121399202307723</v>
      </c>
      <c r="O42" s="53">
        <f>Models!$B$52*EXP(-EXP(Models!$D$52*(ChartData!B42-Models!$C$52+Models!$E$52*ChartData!B42*Models!$B$5)))</f>
        <v>99.957212814168869</v>
      </c>
      <c r="P42" s="172">
        <f>Models!$B$16*Models!$I$16+(100-Models!$B$16*Models!$I$16)/(1+EXP(Models!$C$16*(ChartData!B42-Models!$E$16+Models!$B$4*Models!$F$16+Models!$B$4*Models!$G$16*Models!$I$16+Models!$B$5*Models!$H$16)))</f>
        <v>86.505816211641431</v>
      </c>
      <c r="Q42" s="172">
        <f>Models!$B$53*EXP(-EXP(Models!$D$53*(ChartData!B42+Models!$C$53+Models!$B$5*Models!$E$53+Models!$B$4*Models!$F$53)))</f>
        <v>99.767126636867985</v>
      </c>
      <c r="R42" s="136">
        <f>Models!$B$17*Models!$I$17+(100-Models!$B$17*Models!$I$17)/(1+EXP(Models!$C$17*(ChartData!B42-Models!$E$17+Models!$B$4*Models!$F$17+Models!$B$4*Models!$G$17*Models!$I$17+Models!$B$5*Models!$H$17)))</f>
        <v>92.653225639043725</v>
      </c>
      <c r="S42" s="136">
        <f>Models!$B$54*EXP(-EXP(Models!$D$54*(ChartData!B42+Models!$C$54+Models!$B$5*Models!$E$54+Models!$B$4*Models!$F$54)))</f>
        <v>97.932735139793465</v>
      </c>
      <c r="T42" s="180">
        <f>Models!$B$18*Models!$I$18+(100-Models!$B$18*Models!$I$18)/(1+EXP(Models!$C$18*(ChartData!B42-Models!$E$18+Models!$B$4*Models!$F$18+Models!$B$4*Models!$G$18*Models!$I$18+Models!$B$5*Models!$H$18)))</f>
        <v>83.029874747529945</v>
      </c>
      <c r="U42" s="180">
        <f>Models!$B$55*EXP(-EXP(Models!$D$55*(ChartData!B42+Models!$C$55+Models!$B$5*Models!$E$55+Models!$B$4*Models!$F$55)))</f>
        <v>99.86970095180979</v>
      </c>
      <c r="V42" s="36">
        <f>Models!$B$19*Models!$I$19+(100-Models!$B$19*Models!$I$19)/(1+EXP(Models!$C$19*(ChartData!$B42-Models!$E$19+Models!$B$5*ChartData!$B42*Models!$F$19+Models!$B$4*Models!$G$19)))</f>
        <v>86.692378114094652</v>
      </c>
      <c r="W42" s="36">
        <f>Models!$B$56*EXP(-EXP(Models!$D$56*(ChartData!B42+Models!$C$56+Models!$B$5*Models!$E$56+Models!$B$4*Models!$F$56)))</f>
        <v>98.47257190456672</v>
      </c>
      <c r="X42" s="158">
        <f>Models!$B$20*Models!$I$20+(100-Models!$B$20*Models!$I$20)/(1+EXP(Models!$C$20*(ChartData!$B42-Models!$E$20+Models!$B$5*ChartData!$B42*Models!$F$20+Models!$B$4*Models!$G$20)))</f>
        <v>82.330341499850732</v>
      </c>
      <c r="Y42" s="158">
        <f>Models!$B$57*EXP(-EXP(Models!$D$57*(ChartData!B42+Models!$C$57+Models!$B$5*Models!$E$57+Models!$B$4*Models!$F$57)))</f>
        <v>99.684386596878312</v>
      </c>
      <c r="Z42" s="165">
        <f>Models!$B$21*Models!$I$21+(100-Models!$B$21*Models!$I$21)/(1+EXP(Models!$C$21*(ChartData!$B42-Models!$E$21+Models!$B$5*ChartData!$B42*Models!$F$21+Models!$B$4*Models!$G$21)))</f>
        <v>83.624450049653319</v>
      </c>
      <c r="AA42" s="165">
        <f>Models!$B$58*EXP(-EXP(Models!$D$58*(ChartData!B42+Models!$C$58+Models!$B$5*Models!$E$58+Models!$B$4*Models!$F$58)))</f>
        <v>99.755519244455698</v>
      </c>
      <c r="AB42" s="146">
        <f>200/(1+EXP(Models!$D$22*((Models!$E$22*Models!$B$4+Models!$B$5)*ChartData!B42)))</f>
        <v>92.337983445938676</v>
      </c>
      <c r="AC42" s="146">
        <f>100*EXP(-EXP(Models!$D$59*(ChartData!B42-Models!$C$59+Models!$E$59*Models!$B$4+Models!$F$59*Models!$B$5)))</f>
        <v>95.317450827463588</v>
      </c>
      <c r="AD42" s="149">
        <f>200/(1+EXP(Models!$D$23*((Models!$E$23*Models!$B$4+Models!$B$5)*ChartData!B42)))</f>
        <v>88.900548673589952</v>
      </c>
      <c r="AE42" s="149">
        <f>100*EXP(-EXP(Models!$D$60*(ChartData!B42-Models!$C$60+Models!$E$60*Models!$B$4+Models!$F$60*Models!$B$5)))</f>
        <v>98.317744262605046</v>
      </c>
      <c r="AF42" s="153">
        <f>200/(1+EXP(Models!$D$24*((Models!$E$24*Models!$B$4+Models!$B$5)*ChartData!B42)))</f>
        <v>87.806470603426931</v>
      </c>
      <c r="AG42" s="153">
        <f>100*EXP(-EXP(Models!$D$61*(ChartData!B42-Models!$C$61+Models!$E$61*Models!$B$4+Models!$F$61*Models!$B$5)))</f>
        <v>98.67308281864274</v>
      </c>
      <c r="AH42" s="266">
        <f>IF('Front Page'!$C$31&gt;0,1-'Front Page'!$C$31,"")</f>
        <v>0.995</v>
      </c>
      <c r="AI42" s="214">
        <f>Models!$B$25*Models!$I$25+(200-Models!$B$25*Models!$I$25)/(1+EXP(Models!$C$25*B42*(Models!$B$4*Models!$F$25+Models!$B$5+Models!$I$25*Models!$G$25)))</f>
        <v>89.585787143157404</v>
      </c>
      <c r="AJ42" s="214">
        <f>100*EXP(-EXP(Models!$D$62*(ChartData!B42-Models!$C$62+Models!$E$62*Models!$B$4+Models!$F$62*Models!$B$5)))</f>
        <v>98.472555197692543</v>
      </c>
      <c r="AK42" s="220">
        <f>Models!$B$26*Models!$I$26+(200-Models!$B$26*Models!$I$26)/(1+EXP(Models!$C$26*B42*(Models!$B$4*Models!$F$26+Models!$B$5+Models!$I$26*Models!$G$26)))</f>
        <v>85.302579464013476</v>
      </c>
      <c r="AL42" s="220">
        <f>100*EXP(-EXP(Models!$D$63*(ChartData!B42-Models!$C$63+Models!$E$63*Models!$B$4+Models!$F$63*Models!$B$5)))</f>
        <v>99.684349885142211</v>
      </c>
      <c r="AM42" s="226">
        <f>Models!$B$27*Models!$I$27+(200-Models!$B$27*Models!$I$27)/(1+EXP(Models!$C$27*B42*(Models!$B$4*Models!$F$27+Models!$B$5+Models!$I$27*Models!$G$27)))</f>
        <v>67.692129011772508</v>
      </c>
      <c r="AN42" s="226">
        <f>100*EXP(-EXP(Models!$D$64*(ChartData!B42-Models!$C$64+Models!$E$64*Models!$B$4+Models!$F$64*Models!$B$5)))</f>
        <v>99.755515168807278</v>
      </c>
      <c r="AO42" s="232">
        <f>Models!$B$28*Models!$I$28+(200-Models!$B$28*Models!$I$28)/(1+EXP(Models!$C$28*B42*(Models!$B$4*Models!$F$28+Models!$B$5+Models!$I$28*Models!$G$28)))</f>
        <v>88.009207647372023</v>
      </c>
      <c r="AP42" s="232">
        <f>100*EXP(-EXP(Models!$D$65*(ChartData!B42-Models!$C$65+Models!$E$65*Models!$B$4+Models!$F$65*Models!$B$5)))</f>
        <v>97.933119543489497</v>
      </c>
      <c r="AQ42" s="238">
        <f>Models!$B$29*Models!$I$29+(200-Models!$B$29*Models!$I$29)/(1+EXP(Models!$C$29*B42*(Models!$B$4*Models!$F$29+Models!$B$5+Models!$I$29*Models!$G$29)))</f>
        <v>82.495308532808025</v>
      </c>
      <c r="AR42" s="238">
        <f>100*EXP(-EXP(Models!$D$66*(ChartData!B42-Models!$C$66+Models!$E$66*Models!$B$4+Models!$F$66*Models!$B$5)))</f>
        <v>99.86968531089812</v>
      </c>
      <c r="AS42" s="244">
        <f>Models!$B$30*Models!$I$30+(200-Models!$B$30*Models!$I$30)/(1+EXP(Models!$C$30*B42*(Models!$B$4*Models!$F$30+Models!$B$5+Models!$I$30*Models!$G$30)))</f>
        <v>83.161332960419585</v>
      </c>
      <c r="AT42" s="244">
        <f>100*EXP(-EXP(Models!$D$67*(ChartData!B42-Models!$C$67+Models!$E$67*Models!$B$4+Models!$F$67*Models!$B$5)))</f>
        <v>99.486773815718124</v>
      </c>
    </row>
    <row r="43" spans="1:46" x14ac:dyDescent="0.2">
      <c r="A43" s="134" t="s">
        <v>286</v>
      </c>
      <c r="B43">
        <v>1150</v>
      </c>
      <c r="C43">
        <f>1-'Front Page'!$C$30</f>
        <v>0.99630303030303036</v>
      </c>
      <c r="D43" s="45">
        <f t="shared" si="0"/>
        <v>81.717107188422702</v>
      </c>
      <c r="E43" s="45">
        <f t="shared" si="1"/>
        <v>99.903900563859168</v>
      </c>
      <c r="F43" s="36">
        <f>Equations!$E$4/(1+EXP(Equations!$F$4*ChartData!B43*(Equations!$G$4*Equations!$C$4+Equations!$D$4)))</f>
        <v>89.060480816641771</v>
      </c>
      <c r="G43" s="36">
        <f>Equations!$E$7*EXP(-EXP(-Equations!$F$7*(ChartData!B43-Equations!$G$7+Equations!$H$7*Equations!$C$7+Equations!$I$7*Equations!$D$7)))</f>
        <v>99.31469772450761</v>
      </c>
      <c r="H43" s="55">
        <f>Models!$B$13+Models!$C$13*EXP(Models!$D$13*ChartData!B43+(Models!$E$13*ChartData!B43*Models!$E$3))</f>
        <v>71.651012217075404</v>
      </c>
      <c r="I43" s="55">
        <f>Models!$B$50*EXP(-EXP(Models!$D$50*(ChartData!B43+Models!$C$50-(Models!$E$50*Models!$B$5))))</f>
        <v>96.475274296612284</v>
      </c>
      <c r="J43" s="57">
        <f>Models!$B$12/(1+EXP(Models!$D$12*(ChartData!B43-Models!$C$12+Models!$E$12*ChartData!B43*Models!$B$5)))</f>
        <v>1.0323538389942718E-10</v>
      </c>
      <c r="K43" s="61">
        <f>Models!$B$49*EXP(-EXP(Models!$D$49*(ChartData!B43-Models!$C$49+(Models!$E$49*ChartData!B43*Models!$B$5))))</f>
        <v>99.849417353609979</v>
      </c>
      <c r="L43" s="62">
        <f>Models!$B$15/(1+EXP(Models!$D$15*(ChartData!B43*(1+Models!$D$15*Models!$B$5)-Models!$C$15)))</f>
        <v>13.664437291838361</v>
      </c>
      <c r="M43" s="63">
        <f>Models!$B$52*EXP(-EXP(Models!$D$52*(ChartData!B43*(1+Models!$D$52*Models!$B$5)-Models!$C$52)))</f>
        <v>99.929795454504145</v>
      </c>
      <c r="N43" s="53">
        <f>Models!$B$15/(1+EXP(Models!$D$15*(ChartData!B43-Models!$D$15+Models!$E$15*ChartData!B43*Models!$B$5)))</f>
        <v>9.8441044834411162</v>
      </c>
      <c r="O43" s="53">
        <f>Models!$B$52*EXP(-EXP(Models!$D$52*(ChartData!B43-Models!$C$52+Models!$E$52*ChartData!B43*Models!$B$5)))</f>
        <v>99.971969959109302</v>
      </c>
      <c r="P43" s="172">
        <f>Models!$B$16*Models!$I$16+(100-Models!$B$16*Models!$I$16)/(1+EXP(Models!$C$16*(ChartData!B43-Models!$E$16+Models!$B$4*Models!$F$16+Models!$B$4*Models!$G$16*Models!$I$16+Models!$B$5*Models!$H$16)))</f>
        <v>85.111878000225659</v>
      </c>
      <c r="Q43" s="172">
        <f>Models!$B$53*EXP(-EXP(Models!$D$53*(ChartData!B43+Models!$C$53+Models!$B$5*Models!$E$53+Models!$B$4*Models!$F$53)))</f>
        <v>99.82402010548725</v>
      </c>
      <c r="R43" s="136">
        <f>Models!$B$17*Models!$I$17+(100-Models!$B$17*Models!$I$17)/(1+EXP(Models!$C$17*(ChartData!B43-Models!$E$17+Models!$B$4*Models!$F$17+Models!$B$4*Models!$G$17*Models!$I$17+Models!$B$5*Models!$H$17)))</f>
        <v>92.010521256833215</v>
      </c>
      <c r="S43" s="136">
        <f>Models!$B$54*EXP(-EXP(Models!$D$54*(ChartData!B43+Models!$C$54+Models!$B$5*Models!$E$54+Models!$B$4*Models!$F$54)))</f>
        <v>98.282323684401632</v>
      </c>
      <c r="T43" s="180">
        <f>Models!$B$18*Models!$I$18+(100-Models!$B$18*Models!$I$18)/(1+EXP(Models!$C$18*(ChartData!B43-Models!$E$18+Models!$B$4*Models!$F$18+Models!$B$4*Models!$G$18*Models!$I$18+Models!$B$5*Models!$H$18)))</f>
        <v>81.076297727142816</v>
      </c>
      <c r="U43" s="180">
        <f>Models!$B$55*EXP(-EXP(Models!$D$55*(ChartData!B43+Models!$C$55+Models!$B$5*Models!$E$55+Models!$B$4*Models!$F$55)))</f>
        <v>99.903912580296861</v>
      </c>
      <c r="V43" s="36">
        <f>Models!$B$19*Models!$I$19+(100-Models!$B$19*Models!$I$19)/(1+EXP(Models!$C$19*(ChartData!$B43-Models!$E$19+Models!$B$5*ChartData!$B43*Models!$F$19+Models!$B$4*Models!$G$19)))</f>
        <v>86.328826156010024</v>
      </c>
      <c r="W43" s="36">
        <f>Models!$B$56*EXP(-EXP(Models!$D$56*(ChartData!B43+Models!$C$56+Models!$B$5*Models!$E$56+Models!$B$4*Models!$F$56)))</f>
        <v>98.668386683301719</v>
      </c>
      <c r="X43" s="158">
        <f>Models!$B$20*Models!$I$20+(100-Models!$B$20*Models!$I$20)/(1+EXP(Models!$C$20*(ChartData!$B43-Models!$E$20+Models!$B$5*ChartData!$B43*Models!$F$20+Models!$B$4*Models!$G$20)))</f>
        <v>81.652117516441137</v>
      </c>
      <c r="Y43" s="158">
        <f>Models!$B$57*EXP(-EXP(Models!$D$57*(ChartData!B43+Models!$C$57+Models!$B$5*Models!$E$57+Models!$B$4*Models!$F$57)))</f>
        <v>99.743849264883494</v>
      </c>
      <c r="Z43" s="165">
        <f>Models!$B$21*Models!$I$21+(100-Models!$B$21*Models!$I$21)/(1+EXP(Models!$C$21*(ChartData!$B43-Models!$E$21+Models!$B$5*ChartData!$B43*Models!$F$21+Models!$B$4*Models!$G$21)))</f>
        <v>82.943095878429389</v>
      </c>
      <c r="AA43" s="165">
        <f>Models!$B$58*EXP(-EXP(Models!$D$58*(ChartData!B43+Models!$C$58+Models!$B$5*Models!$E$58+Models!$B$4*Models!$F$58)))</f>
        <v>99.803878603388256</v>
      </c>
      <c r="AB43" s="146">
        <f>200/(1+EXP(Models!$D$22*((Models!$E$22*Models!$B$4+Models!$B$5)*ChartData!B43)))</f>
        <v>91.991168767924208</v>
      </c>
      <c r="AC43" s="146">
        <f>100*EXP(-EXP(Models!$D$59*(ChartData!B43-Models!$C$59+Models!$E$59*Models!$B$4+Models!$F$59*Models!$B$5)))</f>
        <v>95.739903000398286</v>
      </c>
      <c r="AD43" s="149">
        <f>200/(1+EXP(Models!$D$23*((Models!$E$23*Models!$B$4+Models!$B$5)*ChartData!B43)))</f>
        <v>88.400467622044701</v>
      </c>
      <c r="AE43" s="149">
        <f>100*EXP(-EXP(Models!$D$60*(ChartData!B43-Models!$C$60+Models!$E$60*Models!$B$4+Models!$F$60*Models!$B$5)))</f>
        <v>98.540934211883112</v>
      </c>
      <c r="AF43" s="153">
        <f>200/(1+EXP(Models!$D$24*((Models!$E$24*Models!$B$4+Models!$B$5)*ChartData!B43)))</f>
        <v>87.258107651605542</v>
      </c>
      <c r="AG43" s="153">
        <f>100*EXP(-EXP(Models!$D$61*(ChartData!B43-Models!$C$61+Models!$E$61*Models!$B$4+Models!$F$61*Models!$B$5)))</f>
        <v>98.861654383626643</v>
      </c>
      <c r="AH43" s="266">
        <f>IF('Front Page'!$C$31&gt;0,1-'Front Page'!$C$31,"")</f>
        <v>0.995</v>
      </c>
      <c r="AI43" s="214">
        <f>Models!$B$25*Models!$I$25+(200-Models!$B$25*Models!$I$25)/(1+EXP(Models!$C$25*B43*(Models!$B$4*Models!$F$25+Models!$B$5+Models!$I$25*Models!$G$25)))</f>
        <v>89.116079896778658</v>
      </c>
      <c r="AJ43" s="214">
        <f>100*EXP(-EXP(Models!$D$62*(ChartData!B43-Models!$C$62+Models!$E$62*Models!$B$4+Models!$F$62*Models!$B$5)))</f>
        <v>98.668372103723172</v>
      </c>
      <c r="AK43" s="220">
        <f>Models!$B$26*Models!$I$26+(200-Models!$B$26*Models!$I$26)/(1+EXP(Models!$C$26*B43*(Models!$B$4*Models!$F$26+Models!$B$5+Models!$I$26*Models!$G$26)))</f>
        <v>84.644838073776242</v>
      </c>
      <c r="AL43" s="220">
        <f>100*EXP(-EXP(Models!$D$63*(ChartData!B43-Models!$C$63+Models!$E$63*Models!$B$4+Models!$F$63*Models!$B$5)))</f>
        <v>99.743818181612497</v>
      </c>
      <c r="AM43" s="226">
        <f>Models!$B$27*Models!$I$27+(200-Models!$B$27*Models!$I$27)/(1+EXP(Models!$C$27*B43*(Models!$B$4*Models!$F$27+Models!$B$5+Models!$I$27*Models!$G$27)))</f>
        <v>66.123484562752495</v>
      </c>
      <c r="AN43" s="226">
        <f>100*EXP(-EXP(Models!$D$64*(ChartData!B43-Models!$C$64+Models!$E$64*Models!$B$4+Models!$F$64*Models!$B$5)))</f>
        <v>99.803875333128161</v>
      </c>
      <c r="AO43" s="232">
        <f>Models!$B$28*Models!$I$28+(200-Models!$B$28*Models!$I$28)/(1+EXP(Models!$C$28*B43*(Models!$B$4*Models!$F$28+Models!$B$5+Models!$I$28*Models!$G$28)))</f>
        <v>87.469770708896178</v>
      </c>
      <c r="AP43" s="232">
        <f>100*EXP(-EXP(Models!$D$65*(ChartData!B43-Models!$C$65+Models!$E$65*Models!$B$4+Models!$F$65*Models!$B$5)))</f>
        <v>98.282643654094443</v>
      </c>
      <c r="AQ43" s="238">
        <f>Models!$B$29*Models!$I$29+(200-Models!$B$29*Models!$I$29)/(1+EXP(Models!$C$29*B43*(Models!$B$4*Models!$F$29+Models!$B$5+Models!$I$29*Models!$G$29)))</f>
        <v>81.717107188422702</v>
      </c>
      <c r="AR43" s="238">
        <f>100*EXP(-EXP(Models!$D$66*(ChartData!B43-Models!$C$66+Models!$E$66*Models!$B$4+Models!$F$66*Models!$B$5)))</f>
        <v>99.903900563859168</v>
      </c>
      <c r="AS43" s="244">
        <f>Models!$B$30*Models!$I$30+(200-Models!$B$30*Models!$I$30)/(1+EXP(Models!$C$30*B43*(Models!$B$4*Models!$F$30+Models!$B$5+Models!$I$30*Models!$G$30)))</f>
        <v>82.213723793471203</v>
      </c>
      <c r="AT43" s="244">
        <f>100*EXP(-EXP(Models!$D$67*(ChartData!B43-Models!$C$67+Models!$E$67*Models!$B$4+Models!$F$67*Models!$B$5)))</f>
        <v>99.598950571676326</v>
      </c>
    </row>
    <row r="44" spans="1:46" x14ac:dyDescent="0.2">
      <c r="A44" s="134" t="s">
        <v>295</v>
      </c>
      <c r="B44">
        <v>1200</v>
      </c>
      <c r="C44">
        <f>1-'Front Page'!$C$30</f>
        <v>0.99630303030303036</v>
      </c>
      <c r="D44" s="45">
        <f t="shared" si="0"/>
        <v>80.941190113181278</v>
      </c>
      <c r="E44" s="45">
        <f t="shared" si="1"/>
        <v>99.929135492339569</v>
      </c>
      <c r="F44" s="36">
        <f>Equations!$E$4/(1+EXP(Equations!$F$4*ChartData!B44*(Equations!$G$4*Equations!$C$4+Equations!$D$4)))</f>
        <v>88.588903301808969</v>
      </c>
      <c r="G44" s="36">
        <f>Equations!$E$7*EXP(-EXP(-Equations!$F$7*(ChartData!B44-Equations!$G$7+Equations!$H$7*Equations!$C$7+Equations!$I$7*Equations!$D$7)))</f>
        <v>99.420239246663968</v>
      </c>
      <c r="H44" s="55">
        <f>Models!$B$13+Models!$C$13*EXP(Models!$D$13*ChartData!B44+(Models!$E$13*ChartData!B44*Models!$E$3))</f>
        <v>70.673734315522097</v>
      </c>
      <c r="I44" s="55">
        <f>Models!$B$50*EXP(-EXP(Models!$D$50*(ChartData!B44+Models!$C$50-(Models!$E$50*Models!$B$5))))</f>
        <v>96.847433779188322</v>
      </c>
      <c r="J44" s="57">
        <f>Models!$B$12/(1+EXP(Models!$D$12*(ChartData!B44-Models!$C$12+Models!$E$12*ChartData!B44*Models!$B$5)))</f>
        <v>1.6583556987436756E-11</v>
      </c>
      <c r="K44" s="61">
        <f>Models!$B$49*EXP(-EXP(Models!$D$49*(ChartData!B44-Models!$C$49+(Models!$E$49*ChartData!B44*Models!$B$5))))</f>
        <v>99.893928343320013</v>
      </c>
      <c r="L44" s="62">
        <f>Models!$B$15/(1+EXP(Models!$D$15*(ChartData!B44*(1+Models!$D$15*Models!$B$5)-Models!$C$15)))</f>
        <v>12.271589696717012</v>
      </c>
      <c r="M44" s="63">
        <f>Models!$B$52*EXP(-EXP(Models!$D$52*(ChartData!B44*(1+Models!$D$52*Models!$B$5)-Models!$C$52)))</f>
        <v>99.952133432388564</v>
      </c>
      <c r="N44" s="53">
        <f>Models!$B$15/(1+EXP(Models!$D$15*(ChartData!B44-Models!$D$15+Models!$E$15*ChartData!B44*Models!$B$5)))</f>
        <v>8.7067449727246817</v>
      </c>
      <c r="O44" s="53">
        <f>Models!$B$52*EXP(-EXP(Models!$D$52*(ChartData!B44-Models!$C$52+Models!$E$52*ChartData!B44*Models!$B$5)))</f>
        <v>99.981637885853132</v>
      </c>
      <c r="P44" s="172">
        <f>Models!$B$16*Models!$I$16+(100-Models!$B$16*Models!$I$16)/(1+EXP(Models!$C$16*(ChartData!B44-Models!$E$16+Models!$B$4*Models!$F$16+Models!$B$4*Models!$G$16*Models!$I$16+Models!$B$5*Models!$H$16)))</f>
        <v>83.601243546650238</v>
      </c>
      <c r="Q44" s="172">
        <f>Models!$B$53*EXP(-EXP(Models!$D$53*(ChartData!B44+Models!$C$53+Models!$B$5*Models!$E$53+Models!$B$4*Models!$F$53)))</f>
        <v>99.867023151026928</v>
      </c>
      <c r="R44" s="136">
        <f>Models!$B$17*Models!$I$17+(100-Models!$B$17*Models!$I$17)/(1+EXP(Models!$C$17*(ChartData!B44-Models!$E$17+Models!$B$4*Models!$F$17+Models!$B$4*Models!$G$17*Models!$I$17+Models!$B$5*Models!$H$17)))</f>
        <v>91.316861513832578</v>
      </c>
      <c r="S44" s="136">
        <f>Models!$B$54*EXP(-EXP(Models!$D$54*(ChartData!B44+Models!$C$54+Models!$B$5*Models!$E$54+Models!$B$4*Models!$F$54)))</f>
        <v>98.573225590257366</v>
      </c>
      <c r="T44" s="180">
        <f>Models!$B$18*Models!$I$18+(100-Models!$B$18*Models!$I$18)/(1+EXP(Models!$C$18*(ChartData!B44-Models!$E$18+Models!$B$4*Models!$F$18+Models!$B$4*Models!$G$18*Models!$I$18+Models!$B$5*Models!$H$18)))</f>
        <v>78.961047298059711</v>
      </c>
      <c r="U44" s="180">
        <f>Models!$B$55*EXP(-EXP(Models!$D$55*(ChartData!B44+Models!$C$55+Models!$B$5*Models!$E$55+Models!$B$4*Models!$F$55)))</f>
        <v>99.929144708629551</v>
      </c>
      <c r="V44" s="36">
        <f>Models!$B$19*Models!$I$19+(100-Models!$B$19*Models!$I$19)/(1+EXP(Models!$C$19*(ChartData!$B44-Models!$E$19+Models!$B$5*ChartData!$B44*Models!$F$19+Models!$B$4*Models!$G$19)))</f>
        <v>85.956951134273652</v>
      </c>
      <c r="W44" s="36">
        <f>Models!$B$56*EXP(-EXP(Models!$D$56*(ChartData!B44+Models!$C$56+Models!$B$5*Models!$E$56+Models!$B$4*Models!$F$56)))</f>
        <v>98.839246343426595</v>
      </c>
      <c r="X44" s="158">
        <f>Models!$B$20*Models!$I$20+(100-Models!$B$20*Models!$I$20)/(1+EXP(Models!$C$20*(ChartData!$B44-Models!$E$20+Models!$B$5*ChartData!$B44*Models!$F$20+Models!$B$4*Models!$G$20)))</f>
        <v>80.953883229436244</v>
      </c>
      <c r="Y44" s="158">
        <f>Models!$B$57*EXP(-EXP(Models!$D$57*(ChartData!B44+Models!$C$57+Models!$B$5*Models!$E$57+Models!$B$4*Models!$F$57)))</f>
        <v>99.792120641386902</v>
      </c>
      <c r="Z44" s="165">
        <f>Models!$B$21*Models!$I$21+(100-Models!$B$21*Models!$I$21)/(1+EXP(Models!$C$21*(ChartData!$B44-Models!$E$21+Models!$B$5*ChartData!$B44*Models!$F$21+Models!$B$4*Models!$G$21)))</f>
        <v>82.240519037205488</v>
      </c>
      <c r="AA44" s="165">
        <f>Models!$B$58*EXP(-EXP(Models!$D$58*(ChartData!B44+Models!$C$58+Models!$B$5*Models!$E$58+Models!$B$4*Models!$F$58)))</f>
        <v>99.842679813949857</v>
      </c>
      <c r="AB44" s="146">
        <f>200/(1+EXP(Models!$D$22*((Models!$E$22*Models!$B$4+Models!$B$5)*ChartData!B44)))</f>
        <v>91.644547886408432</v>
      </c>
      <c r="AC44" s="146">
        <f>100*EXP(-EXP(Models!$D$59*(ChartData!B44-Models!$C$59+Models!$E$59*Models!$B$4+Models!$F$59*Models!$B$5)))</f>
        <v>96.125020878810915</v>
      </c>
      <c r="AD44" s="149">
        <f>200/(1+EXP(Models!$D$23*((Models!$E$23*Models!$B$4+Models!$B$5)*ChartData!B44)))</f>
        <v>87.900973956949144</v>
      </c>
      <c r="AE44" s="149">
        <f>100*EXP(-EXP(Models!$D$60*(ChartData!B44-Models!$C$60+Models!$E$60*Models!$B$4+Models!$F$60*Models!$B$5)))</f>
        <v>98.734703677522788</v>
      </c>
      <c r="AF44" s="153">
        <f>200/(1+EXP(Models!$D$24*((Models!$E$24*Models!$B$4+Models!$B$5)*ChartData!B44)))</f>
        <v>86.710522543864343</v>
      </c>
      <c r="AG44" s="153">
        <f>100*EXP(-EXP(Models!$D$61*(ChartData!B44-Models!$C$61+Models!$E$61*Models!$B$4+Models!$F$61*Models!$B$5)))</f>
        <v>99.023560292300402</v>
      </c>
      <c r="AH44" s="266">
        <f>IF('Front Page'!$C$31&gt;0,1-'Front Page'!$C$31,"")</f>
        <v>0.995</v>
      </c>
      <c r="AI44" s="214">
        <f>Models!$B$25*Models!$I$25+(200-Models!$B$25*Models!$I$25)/(1+EXP(Models!$C$25*B44*(Models!$B$4*Models!$F$25+Models!$B$5+Models!$I$25*Models!$G$25)))</f>
        <v>88.646858158052936</v>
      </c>
      <c r="AJ44" s="214">
        <f>100*EXP(-EXP(Models!$D$62*(ChartData!B44-Models!$C$62+Models!$E$62*Models!$B$4+Models!$F$62*Models!$B$5)))</f>
        <v>98.839233623535634</v>
      </c>
      <c r="AK44" s="220">
        <f>Models!$B$26*Models!$I$26+(200-Models!$B$26*Models!$I$26)/(1+EXP(Models!$C$26*B44*(Models!$B$4*Models!$F$26+Models!$B$5+Models!$I$26*Models!$G$26)))</f>
        <v>83.988454558318722</v>
      </c>
      <c r="AL44" s="220">
        <f>100*EXP(-EXP(Models!$D$63*(ChartData!B44-Models!$C$63+Models!$E$63*Models!$B$4+Models!$F$63*Models!$B$5)))</f>
        <v>99.7920943711799</v>
      </c>
      <c r="AM44" s="226">
        <f>Models!$B$27*Models!$I$27+(200-Models!$B$27*Models!$I$27)/(1+EXP(Models!$C$27*B44*(Models!$B$4*Models!$F$27+Models!$B$5+Models!$I$27*Models!$G$27)))</f>
        <v>64.584564280902853</v>
      </c>
      <c r="AN44" s="226">
        <f>100*EXP(-EXP(Models!$D$64*(ChartData!B44-Models!$C$64+Models!$E$64*Models!$B$4+Models!$F$64*Models!$B$5)))</f>
        <v>99.842677190177227</v>
      </c>
      <c r="AO44" s="232">
        <f>Models!$B$28*Models!$I$28+(200-Models!$B$28*Models!$I$28)/(1+EXP(Models!$C$28*B44*(Models!$B$4*Models!$F$28+Models!$B$5+Models!$I$28*Models!$G$28)))</f>
        <v>86.931073626296538</v>
      </c>
      <c r="AP44" s="232">
        <f>100*EXP(-EXP(Models!$D$65*(ChartData!B44-Models!$C$65+Models!$E$65*Models!$B$4+Models!$F$65*Models!$B$5)))</f>
        <v>98.573491764593143</v>
      </c>
      <c r="AQ44" s="238">
        <f>Models!$B$29*Models!$I$29+(200-Models!$B$29*Models!$I$29)/(1+EXP(Models!$C$29*B44*(Models!$B$4*Models!$F$29+Models!$B$5+Models!$I$29*Models!$G$29)))</f>
        <v>80.941190113181278</v>
      </c>
      <c r="AR44" s="238">
        <f>100*EXP(-EXP(Models!$D$66*(ChartData!B44-Models!$C$66+Models!$E$66*Models!$B$4+Models!$F$66*Models!$B$5)))</f>
        <v>99.929135492339569</v>
      </c>
      <c r="AS44" s="244">
        <f>Models!$B$30*Models!$I$30+(200-Models!$B$30*Models!$I$30)/(1+EXP(Models!$C$30*B44*(Models!$B$4*Models!$F$30+Models!$B$5+Models!$I$30*Models!$G$30)))</f>
        <v>81.270838474454393</v>
      </c>
      <c r="AT44" s="244">
        <f>100*EXP(-EXP(Models!$D$67*(ChartData!B44-Models!$C$67+Models!$E$67*Models!$B$4+Models!$F$67*Models!$B$5)))</f>
        <v>99.686647274263137</v>
      </c>
    </row>
    <row r="45" spans="1:46" x14ac:dyDescent="0.2">
      <c r="B45">
        <v>1250</v>
      </c>
      <c r="C45">
        <f>1-'Front Page'!$C$30</f>
        <v>0.99630303030303036</v>
      </c>
      <c r="D45" s="45">
        <f t="shared" si="0"/>
        <v>80.167647112863463</v>
      </c>
      <c r="E45" s="45">
        <f t="shared" si="1"/>
        <v>99.947745667312248</v>
      </c>
      <c r="F45" s="36">
        <f>Equations!$E$4/(1+EXP(Equations!$F$4*ChartData!B45*(Equations!$G$4*Equations!$C$4+Equations!$D$4)))</f>
        <v>88.117839454927875</v>
      </c>
      <c r="G45" s="36">
        <f>Equations!$E$7*EXP(-EXP(-Equations!$F$7*(ChartData!B45-Equations!$G$7+Equations!$H$7*Equations!$C$7+Equations!$I$7*Equations!$D$7)))</f>
        <v>99.509566760335616</v>
      </c>
      <c r="H45" s="55">
        <f>Models!$B$13+Models!$C$13*EXP(Models!$D$13*ChartData!B45+(Models!$E$13*ChartData!B45*Models!$E$3))</f>
        <v>69.714561698715443</v>
      </c>
      <c r="I45" s="55">
        <f>Models!$B$50*EXP(-EXP(Models!$D$50*(ChartData!B45+Models!$C$50-(Models!$E$50*Models!$B$5))))</f>
        <v>97.180874780989896</v>
      </c>
      <c r="J45" s="57">
        <f>Models!$B$12/(1+EXP(Models!$D$12*(ChartData!B45-Models!$C$12+Models!$E$12*ChartData!B45*Models!$B$5)))</f>
        <v>2.6639544695578175E-12</v>
      </c>
      <c r="K45" s="61">
        <f>Models!$B$49*EXP(-EXP(Models!$D$49*(ChartData!B45-Models!$C$49+(Models!$E$49*ChartData!B45*Models!$B$5))))</f>
        <v>99.925287173480015</v>
      </c>
      <c r="L45" s="62">
        <f>Models!$B$15/(1+EXP(Models!$D$15*(ChartData!B45*(1+Models!$D$15*Models!$B$5)-Models!$C$15)))</f>
        <v>11.012327555991703</v>
      </c>
      <c r="M45" s="63">
        <f>Models!$B$52*EXP(-EXP(Models!$D$52*(ChartData!B45*(1+Models!$D$52*Models!$B$5)-Models!$C$52)))</f>
        <v>99.967364978988428</v>
      </c>
      <c r="N45" s="53">
        <f>Models!$B$15/(1+EXP(Models!$D$15*(ChartData!B45-Models!$D$15+Models!$E$15*ChartData!B45*Models!$B$5)))</f>
        <v>7.6954747493183264</v>
      </c>
      <c r="O45" s="53">
        <f>Models!$B$52*EXP(-EXP(Models!$D$52*(ChartData!B45-Models!$C$52+Models!$E$52*ChartData!B45*Models!$B$5)))</f>
        <v>99.987971419154746</v>
      </c>
      <c r="P45" s="172">
        <f>Models!$B$16*Models!$I$16+(100-Models!$B$16*Models!$I$16)/(1+EXP(Models!$C$16*(ChartData!B45-Models!$E$16+Models!$B$4*Models!$F$16+Models!$B$4*Models!$G$16*Models!$I$16+Models!$B$5*Models!$H$16)))</f>
        <v>81.96980195134573</v>
      </c>
      <c r="Q45" s="172">
        <f>Models!$B$53*EXP(-EXP(Models!$D$53*(ChartData!B45+Models!$C$53+Models!$B$5*Models!$E$53+Models!$B$4*Models!$F$53)))</f>
        <v>99.899523114778248</v>
      </c>
      <c r="R45" s="136">
        <f>Models!$B$17*Models!$I$17+(100-Models!$B$17*Models!$I$17)/(1+EXP(Models!$C$17*(ChartData!B45-Models!$E$17+Models!$B$4*Models!$F$17+Models!$B$4*Models!$G$17*Models!$I$17+Models!$B$5*Models!$H$17)))</f>
        <v>90.569149966725533</v>
      </c>
      <c r="S45" s="136">
        <f>Models!$B$54*EXP(-EXP(Models!$D$54*(ChartData!B45+Models!$C$54+Models!$B$5*Models!$E$54+Models!$B$4*Models!$F$54)))</f>
        <v>98.815158248648444</v>
      </c>
      <c r="T45" s="180">
        <f>Models!$B$18*Models!$I$18+(100-Models!$B$18*Models!$I$18)/(1+EXP(Models!$C$18*(ChartData!B45-Models!$E$18+Models!$B$4*Models!$F$18+Models!$B$4*Models!$G$18*Models!$I$18+Models!$B$5*Models!$H$18)))</f>
        <v>76.68498834755448</v>
      </c>
      <c r="U45" s="180">
        <f>Models!$B$55*EXP(-EXP(Models!$D$55*(ChartData!B45+Models!$C$55+Models!$B$5*Models!$E$55+Models!$B$4*Models!$F$55)))</f>
        <v>99.947752725055778</v>
      </c>
      <c r="V45" s="36">
        <f>Models!$B$19*Models!$I$19+(100-Models!$B$19*Models!$I$19)/(1+EXP(Models!$C$19*(ChartData!$B45-Models!$E$19+Models!$B$5*ChartData!$B45*Models!$F$19+Models!$B$4*Models!$G$19)))</f>
        <v>85.576650638479691</v>
      </c>
      <c r="W45" s="36">
        <f>Models!$B$56*EXP(-EXP(Models!$D$56*(ChartData!B45+Models!$C$56+Models!$B$5*Models!$E$56+Models!$B$4*Models!$F$56)))</f>
        <v>98.98829547551658</v>
      </c>
      <c r="X45" s="158">
        <f>Models!$B$20*Models!$I$20+(100-Models!$B$20*Models!$I$20)/(1+EXP(Models!$C$20*(ChartData!$B45-Models!$E$20+Models!$B$5*ChartData!$B45*Models!$F$20+Models!$B$4*Models!$G$20)))</f>
        <v>80.235509252984585</v>
      </c>
      <c r="Y45" s="158">
        <f>Models!$B$57*EXP(-EXP(Models!$D$57*(ChartData!B45+Models!$C$57+Models!$B$5*Models!$E$57+Models!$B$4*Models!$F$57)))</f>
        <v>99.831303013799015</v>
      </c>
      <c r="Z45" s="165">
        <f>Models!$B$21*Models!$I$21+(100-Models!$B$21*Models!$I$21)/(1+EXP(Models!$C$21*(ChartData!$B45-Models!$E$21+Models!$B$5*ChartData!$B45*Models!$F$21+Models!$B$4*Models!$G$21)))</f>
        <v>81.516648533902028</v>
      </c>
      <c r="AA45" s="165">
        <f>Models!$B$58*EXP(-EXP(Models!$D$58*(ChartData!B45+Models!$C$58+Models!$B$5*Models!$E$58+Models!$B$4*Models!$F$58)))</f>
        <v>99.873809336966076</v>
      </c>
      <c r="AB45" s="146">
        <f>200/(1+EXP(Models!$D$22*((Models!$E$22*Models!$B$4+Models!$B$5)*ChartData!B45)))</f>
        <v>91.298129073449672</v>
      </c>
      <c r="AC45" s="146">
        <f>100*EXP(-EXP(Models!$D$59*(ChartData!B45-Models!$C$59+Models!$E$59*Models!$B$4+Models!$F$59*Models!$B$5)))</f>
        <v>96.475967357258625</v>
      </c>
      <c r="AD45" s="149">
        <f>200/(1+EXP(Models!$D$23*((Models!$E$23*Models!$B$4+Models!$B$5)*ChartData!B45)))</f>
        <v>87.402092236945919</v>
      </c>
      <c r="AE45" s="149">
        <f>100*EXP(-EXP(Models!$D$60*(ChartData!B45-Models!$C$60+Models!$E$60*Models!$B$4+Models!$F$60*Models!$B$5)))</f>
        <v>98.902883245866036</v>
      </c>
      <c r="AF45" s="153">
        <f>200/(1+EXP(Models!$D$24*((Models!$E$24*Models!$B$4+Models!$B$5)*ChartData!B45)))</f>
        <v>86.163747532724059</v>
      </c>
      <c r="AG45" s="153">
        <f>100*EXP(-EXP(Models!$D$61*(ChartData!B45-Models!$C$61+Models!$E$61*Models!$B$4+Models!$F$61*Models!$B$5)))</f>
        <v>99.162536082439772</v>
      </c>
      <c r="AH45" s="266">
        <f>IF('Front Page'!$C$31&gt;0,1-'Front Page'!$C$31,"")</f>
        <v>0.995</v>
      </c>
      <c r="AI45" s="214">
        <f>Models!$B$25*Models!$I$25+(200-Models!$B$25*Models!$I$25)/(1+EXP(Models!$C$25*B45*(Models!$B$4*Models!$F$25+Models!$B$5+Models!$I$25*Models!$G$25)))</f>
        <v>88.17814232317977</v>
      </c>
      <c r="AJ45" s="214">
        <f>100*EXP(-EXP(Models!$D$62*(ChartData!B45-Models!$C$62+Models!$E$62*Models!$B$4+Models!$F$62*Models!$B$5)))</f>
        <v>98.988284380579842</v>
      </c>
      <c r="AK45" s="220">
        <f>Models!$B$26*Models!$I$26+(200-Models!$B$26*Models!$I$26)/(1+EXP(Models!$C$26*B45*(Models!$B$4*Models!$F$26+Models!$B$5+Models!$I$26*Models!$G$26)))</f>
        <v>83.333483976955506</v>
      </c>
      <c r="AL45" s="220">
        <f>100*EXP(-EXP(Models!$D$63*(ChartData!B45-Models!$C$63+Models!$E$63*Models!$B$4+Models!$F$63*Models!$B$5)))</f>
        <v>99.831280848092916</v>
      </c>
      <c r="AM45" s="226">
        <f>Models!$B$27*Models!$I$27+(200-Models!$B$27*Models!$I$27)/(1+EXP(Models!$C$27*B45*(Models!$B$4*Models!$F$27+Models!$B$5+Models!$I$27*Models!$G$27)))</f>
        <v>63.075871455743794</v>
      </c>
      <c r="AN45" s="226">
        <f>100*EXP(-EXP(Models!$D$64*(ChartData!B45-Models!$C$64+Models!$E$64*Models!$B$4+Models!$F$64*Models!$B$5)))</f>
        <v>99.873807232040818</v>
      </c>
      <c r="AO45" s="232">
        <f>Models!$B$28*Models!$I$28+(200-Models!$B$28*Models!$I$28)/(1+EXP(Models!$C$28*B45*(Models!$B$4*Models!$F$28+Models!$B$5+Models!$I$28*Models!$G$28)))</f>
        <v>86.393147126226083</v>
      </c>
      <c r="AP45" s="232">
        <f>100*EXP(-EXP(Models!$D$65*(ChartData!B45-Models!$C$65+Models!$E$65*Models!$B$4+Models!$F$65*Models!$B$5)))</f>
        <v>98.81537956045554</v>
      </c>
      <c r="AQ45" s="238">
        <f>Models!$B$29*Models!$I$29+(200-Models!$B$29*Models!$I$29)/(1+EXP(Models!$C$29*B45*(Models!$B$4*Models!$F$29+Models!$B$5+Models!$I$29*Models!$G$29)))</f>
        <v>80.167647112863463</v>
      </c>
      <c r="AR45" s="238">
        <f>100*EXP(-EXP(Models!$D$66*(ChartData!B45-Models!$C$66+Models!$E$66*Models!$B$4+Models!$F$66*Models!$B$5)))</f>
        <v>99.947745667312248</v>
      </c>
      <c r="AS45" s="244">
        <f>Models!$B$30*Models!$I$30+(200-Models!$B$30*Models!$I$30)/(1+EXP(Models!$C$30*B45*(Models!$B$4*Models!$F$30+Models!$B$5+Models!$I$30*Models!$G$30)))</f>
        <v>80.332849039902641</v>
      </c>
      <c r="AT45" s="244">
        <f>100*EXP(-EXP(Models!$D$67*(ChartData!B45-Models!$C$67+Models!$E$67*Models!$B$4+Models!$F$67*Models!$B$5)))</f>
        <v>99.755191078643918</v>
      </c>
    </row>
    <row r="46" spans="1:46" x14ac:dyDescent="0.2">
      <c r="A46" s="135" t="s">
        <v>303</v>
      </c>
      <c r="B46">
        <v>1300</v>
      </c>
      <c r="C46">
        <f>1-'Front Page'!$C$30</f>
        <v>0.99630303030303036</v>
      </c>
      <c r="D46" s="45">
        <f t="shared" si="0"/>
        <v>79.396566832731253</v>
      </c>
      <c r="E46" s="45">
        <f t="shared" si="1"/>
        <v>99.961469449175084</v>
      </c>
      <c r="F46" s="36">
        <f>Equations!$E$4/(1+EXP(Equations!$F$4*ChartData!B46*(Equations!$G$4*Equations!$C$4+Equations!$D$4)))</f>
        <v>87.647309886206855</v>
      </c>
      <c r="G46" s="36">
        <f>Equations!$E$7*EXP(-EXP(-Equations!$F$7*(ChartData!B46-Equations!$G$7+Equations!$H$7*Equations!$C$7+Equations!$I$7*Equations!$D$7)))</f>
        <v>99.585159727997819</v>
      </c>
      <c r="H46" s="55">
        <f>Models!$B$13+Models!$C$13*EXP(Models!$D$13*ChartData!B46+(Models!$E$13*ChartData!B46*Models!$E$3))</f>
        <v>68.773158943808738</v>
      </c>
      <c r="I46" s="55">
        <f>Models!$B$50*EXP(-EXP(Models!$D$50*(ChartData!B46+Models!$C$50-(Models!$E$50*Models!$B$5))))</f>
        <v>97.479508705840516</v>
      </c>
      <c r="J46" s="57">
        <f>Models!$B$12/(1+EXP(Models!$D$12*(ChartData!B46-Models!$C$12+Models!$E$12*ChartData!B46*Models!$B$5)))</f>
        <v>4.2793312805284269E-13</v>
      </c>
      <c r="K46" s="61">
        <f>Models!$B$49*EXP(-EXP(Models!$D$49*(ChartData!B46-Models!$C$49+(Models!$E$49*ChartData!B46*Models!$B$5))))</f>
        <v>99.947377578395987</v>
      </c>
      <c r="L46" s="62">
        <f>Models!$B$15/(1+EXP(Models!$D$15*(ChartData!B46*(1+Models!$D$15*Models!$B$5)-Models!$C$15)))</f>
        <v>9.8754882607108829</v>
      </c>
      <c r="M46" s="63">
        <f>Models!$B$52*EXP(-EXP(Models!$D$52*(ChartData!B46*(1+Models!$D$52*Models!$B$5)-Models!$C$52)))</f>
        <v>99.977750258105772</v>
      </c>
      <c r="N46" s="53">
        <f>Models!$B$15/(1+EXP(Models!$D$15*(ChartData!B46-Models!$D$15+Models!$E$15*ChartData!B46*Models!$B$5)))</f>
        <v>6.7974876886786442</v>
      </c>
      <c r="O46" s="53">
        <f>Models!$B$52*EXP(-EXP(Models!$D$52*(ChartData!B46-Models!$C$52+Models!$E$52*ChartData!B46*Models!$B$5)))</f>
        <v>99.992120451091381</v>
      </c>
      <c r="P46" s="172">
        <f>Models!$B$16*Models!$I$16+(100-Models!$B$16*Models!$I$16)/(1+EXP(Models!$C$16*(ChartData!B46-Models!$E$16+Models!$B$4*Models!$F$16+Models!$B$4*Models!$G$16*Models!$I$16+Models!$B$5*Models!$H$16)))</f>
        <v>80.214467284672281</v>
      </c>
      <c r="Q46" s="172">
        <f>Models!$B$53*EXP(-EXP(Models!$D$53*(ChartData!B46+Models!$C$53+Models!$B$5*Models!$E$53+Models!$B$4*Models!$F$53)))</f>
        <v>99.924083003432941</v>
      </c>
      <c r="R46" s="136">
        <f>Models!$B$17*Models!$I$17+(100-Models!$B$17*Models!$I$17)/(1+EXP(Models!$C$17*(ChartData!B46-Models!$E$17+Models!$B$4*Models!$F$17+Models!$B$4*Models!$G$17*Models!$I$17+Models!$B$5*Models!$H$17)))</f>
        <v>89.764269462631603</v>
      </c>
      <c r="S46" s="136">
        <f>Models!$B$54*EXP(-EXP(Models!$D$54*(ChartData!B46+Models!$C$54+Models!$B$5*Models!$E$54+Models!$B$4*Models!$F$54)))</f>
        <v>99.016272185961057</v>
      </c>
      <c r="T46" s="180">
        <f>Models!$B$18*Models!$I$18+(100-Models!$B$18*Models!$I$18)/(1+EXP(Models!$C$18*(ChartData!B46-Models!$E$18+Models!$B$4*Models!$F$18+Models!$B$4*Models!$G$18*Models!$I$18+Models!$B$5*Models!$H$18)))</f>
        <v>74.25227811076725</v>
      </c>
      <c r="U46" s="180">
        <f>Models!$B$55*EXP(-EXP(Models!$D$55*(ChartData!B46+Models!$C$55+Models!$B$5*Models!$E$55+Models!$B$4*Models!$F$55)))</f>
        <v>99.961474846259222</v>
      </c>
      <c r="V46" s="36">
        <f>Models!$B$19*Models!$I$19+(100-Models!$B$19*Models!$I$19)/(1+EXP(Models!$C$19*(ChartData!$B46-Models!$E$19+Models!$B$5*ChartData!$B46*Models!$F$19+Models!$B$4*Models!$G$19)))</f>
        <v>85.187825927664861</v>
      </c>
      <c r="W46" s="36">
        <f>Models!$B$56*EXP(-EXP(Models!$D$56*(ChartData!B46+Models!$C$56+Models!$B$5*Models!$E$56+Models!$B$4*Models!$F$56)))</f>
        <v>99.118291074300757</v>
      </c>
      <c r="X46" s="158">
        <f>Models!$B$20*Models!$I$20+(100-Models!$B$20*Models!$I$20)/(1+EXP(Models!$C$20*(ChartData!$B46-Models!$E$20+Models!$B$5*ChartData!$B46*Models!$F$20+Models!$B$4*Models!$G$20)))</f>
        <v>79.496902336096639</v>
      </c>
      <c r="Y46" s="158">
        <f>Models!$B$57*EXP(-EXP(Models!$D$57*(ChartData!B46+Models!$C$57+Models!$B$5*Models!$E$57+Models!$B$4*Models!$F$57)))</f>
        <v>99.863105119207233</v>
      </c>
      <c r="Z46" s="165">
        <f>Models!$B$21*Models!$I$21+(100-Models!$B$21*Models!$I$21)/(1+EXP(Models!$C$21*(ChartData!$B46-Models!$E$21+Models!$B$5*ChartData!$B46*Models!$F$21+Models!$B$4*Models!$G$21)))</f>
        <v>80.771464830941056</v>
      </c>
      <c r="AA46" s="165">
        <f>Models!$B$58*EXP(-EXP(Models!$D$58*(ChartData!B46+Models!$C$58+Models!$B$5*Models!$E$58+Models!$B$4*Models!$F$58)))</f>
        <v>99.898782269406567</v>
      </c>
      <c r="AB46" s="146">
        <f>200/(1+EXP(Models!$D$22*((Models!$E$22*Models!$B$4+Models!$B$5)*ChartData!B46)))</f>
        <v>90.951920581628102</v>
      </c>
      <c r="AC46" s="146">
        <f>100*EXP(-EXP(Models!$D$59*(ChartData!B46-Models!$C$59+Models!$E$59*Models!$B$4+Models!$F$59*Models!$B$5)))</f>
        <v>96.795661551607822</v>
      </c>
      <c r="AD46" s="149">
        <f>200/(1+EXP(Models!$D$23*((Models!$E$23*Models!$B$4+Models!$B$5)*ChartData!B46)))</f>
        <v>86.903846897797862</v>
      </c>
      <c r="AE46" s="149">
        <f>100*EXP(-EXP(Models!$D$60*(ChartData!B46-Models!$C$60+Models!$E$60*Models!$B$4+Models!$F$60*Models!$B$5)))</f>
        <v>99.048816653353796</v>
      </c>
      <c r="AF46" s="153">
        <f>200/(1+EXP(Models!$D$24*((Models!$E$24*Models!$B$4+Models!$B$5)*ChartData!B46)))</f>
        <v>85.617814674963114</v>
      </c>
      <c r="AG46" s="153">
        <f>100*EXP(-EXP(Models!$D$61*(ChartData!B46-Models!$C$61+Models!$E$61*Models!$B$4+Models!$F$61*Models!$B$5)))</f>
        <v>99.28180335646104</v>
      </c>
      <c r="AH46" s="266">
        <f>IF('Front Page'!$C$31&gt;0,1-'Front Page'!$C$31,"")</f>
        <v>0.995</v>
      </c>
      <c r="AI46" s="214">
        <f>Models!$B$25*Models!$I$25+(200-Models!$B$25*Models!$I$25)/(1+EXP(Models!$C$25*B46*(Models!$B$4*Models!$F$25+Models!$B$5+Models!$I$25*Models!$G$25)))</f>
        <v>87.709952698776647</v>
      </c>
      <c r="AJ46" s="214">
        <f>100*EXP(-EXP(Models!$D$62*(ChartData!B46-Models!$C$62+Models!$E$62*Models!$B$4+Models!$F$62*Models!$B$5)))</f>
        <v>99.118281398613775</v>
      </c>
      <c r="AK46" s="220">
        <f>Models!$B$26*Models!$I$26+(200-Models!$B$26*Models!$I$26)/(1+EXP(Models!$C$26*B46*(Models!$B$4*Models!$F$26+Models!$B$5+Models!$I$26*Models!$G$26)))</f>
        <v>82.679980896857899</v>
      </c>
      <c r="AL46" s="220">
        <f>100*EXP(-EXP(Models!$D$63*(ChartData!B46-Models!$C$63+Models!$E$63*Models!$B$4+Models!$F$63*Models!$B$5)))</f>
        <v>99.863086445131529</v>
      </c>
      <c r="AM46" s="226">
        <f>Models!$B$27*Models!$I$27+(200-Models!$B$27*Models!$I$27)/(1+EXP(Models!$C$27*B46*(Models!$B$4*Models!$F$27+Models!$B$5+Models!$I$27*Models!$G$27)))</f>
        <v>61.597836695166926</v>
      </c>
      <c r="AN46" s="226">
        <f>100*EXP(-EXP(Models!$D$64*(ChartData!B46-Models!$C$64+Models!$E$64*Models!$B$4+Models!$F$64*Models!$B$5)))</f>
        <v>99.89878058083157</v>
      </c>
      <c r="AO46" s="232">
        <f>Models!$B$28*Models!$I$28+(200-Models!$B$28*Models!$I$28)/(1+EXP(Models!$C$28*B46*(Models!$B$4*Models!$F$28+Models!$B$5+Models!$I$28*Models!$G$28)))</f>
        <v>85.856021755181317</v>
      </c>
      <c r="AP46" s="232">
        <f>100*EXP(-EXP(Models!$D$65*(ChartData!B46-Models!$C$65+Models!$E$65*Models!$B$4+Models!$F$65*Models!$B$5)))</f>
        <v>99.016456119702795</v>
      </c>
      <c r="AQ46" s="238">
        <f>Models!$B$29*Models!$I$29+(200-Models!$B$29*Models!$I$29)/(1+EXP(Models!$C$29*B46*(Models!$B$4*Models!$F$29+Models!$B$5+Models!$I$29*Models!$G$29)))</f>
        <v>79.396566832731253</v>
      </c>
      <c r="AR46" s="238">
        <f>100*EXP(-EXP(Models!$D$66*(ChartData!B46-Models!$C$66+Models!$E$66*Models!$B$4+Models!$F$66*Models!$B$5)))</f>
        <v>99.961469449175084</v>
      </c>
      <c r="AS46" s="244">
        <f>Models!$B$30*Models!$I$30+(200-Models!$B$30*Models!$I$30)/(1+EXP(Models!$C$30*B46*(Models!$B$4*Models!$F$30+Models!$B$5+Models!$I$30*Models!$G$30)))</f>
        <v>79.399923587179828</v>
      </c>
      <c r="AT46" s="244">
        <f>100*EXP(-EXP(Models!$D$67*(ChartData!B46-Models!$C$67+Models!$E$67*Models!$B$4+Models!$F$67*Models!$B$5)))</f>
        <v>99.808755769593247</v>
      </c>
    </row>
    <row r="47" spans="1:46" x14ac:dyDescent="0.2">
      <c r="A47" s="135" t="s">
        <v>234</v>
      </c>
      <c r="B47">
        <v>1350</v>
      </c>
      <c r="C47">
        <f>1-'Front Page'!$C$30</f>
        <v>0.99630303030303036</v>
      </c>
      <c r="D47" s="45">
        <f t="shared" si="0"/>
        <v>78.628036719940894</v>
      </c>
      <c r="E47" s="45">
        <f t="shared" si="1"/>
        <v>99.971589407003876</v>
      </c>
      <c r="F47" s="36">
        <f>Equations!$E$4/(1+EXP(Equations!$F$4*ChartData!B47*(Equations!$G$4*Equations!$C$4+Equations!$D$4)))</f>
        <v>87.177335110450855</v>
      </c>
      <c r="G47" s="36">
        <f>Equations!$E$7*EXP(-EXP(-Equations!$F$7*(ChartData!B47-Equations!$G$7+Equations!$H$7*Equations!$C$7+Equations!$I$7*Equations!$D$7)))</f>
        <v>99.649121716303782</v>
      </c>
      <c r="H47" s="55">
        <f>Models!$B$13+Models!$C$13*EXP(Models!$D$13*ChartData!B47+(Models!$E$13*ChartData!B47*Models!$E$3))</f>
        <v>67.849196842079365</v>
      </c>
      <c r="I47" s="55">
        <f>Models!$B$50*EXP(-EXP(Models!$D$50*(ChartData!B47+Models!$C$50-(Models!$E$50*Models!$B$5))))</f>
        <v>97.746875657227221</v>
      </c>
      <c r="J47" s="57">
        <f>Models!$B$12/(1+EXP(Models!$D$12*(ChartData!B47-Models!$C$12+Models!$E$12*ChartData!B47*Models!$B$5)))</f>
        <v>6.8742451936682129E-14</v>
      </c>
      <c r="K47" s="61">
        <f>Models!$B$49*EXP(-EXP(Models!$D$49*(ChartData!B47-Models!$C$49+(Models!$E$49*ChartData!B47*Models!$B$5))))</f>
        <v>99.962937705766066</v>
      </c>
      <c r="L47" s="62">
        <f>Models!$B$15/(1+EXP(Models!$D$15*(ChartData!B47*(1+Models!$D$15*Models!$B$5)-Models!$C$15)))</f>
        <v>8.850512584953977</v>
      </c>
      <c r="M47" s="63">
        <f>Models!$B$52*EXP(-EXP(Models!$D$52*(ChartData!B47*(1+Models!$D$52*Models!$B$5)-Models!$C$52)))</f>
        <v>99.98483093265466</v>
      </c>
      <c r="N47" s="53">
        <f>Models!$B$15/(1+EXP(Models!$D$15*(ChartData!B47-Models!$D$15+Models!$E$15*ChartData!B47*Models!$B$5)))</f>
        <v>6.0010170422594618</v>
      </c>
      <c r="O47" s="53">
        <f>Models!$B$52*EXP(-EXP(Models!$D$52*(ChartData!B47-Models!$C$52+Models!$E$52*ChartData!B47*Models!$B$5)))</f>
        <v>99.994838389708718</v>
      </c>
      <c r="P47" s="172">
        <f>Models!$B$16*Models!$I$16+(100-Models!$B$16*Models!$I$16)/(1+EXP(Models!$C$16*(ChartData!B47-Models!$E$16+Models!$B$4*Models!$F$16+Models!$B$4*Models!$G$16*Models!$I$16+Models!$B$5*Models!$H$16)))</f>
        <v>78.333412164983841</v>
      </c>
      <c r="Q47" s="172">
        <f>Models!$B$53*EXP(-EXP(Models!$D$53*(ChartData!B47+Models!$C$53+Models!$B$5*Models!$E$53+Models!$B$4*Models!$F$53)))</f>
        <v>99.942641362852385</v>
      </c>
      <c r="R47" s="136">
        <f>Models!$B$17*Models!$I$17+(100-Models!$B$17*Models!$I$17)/(1+EXP(Models!$C$17*(ChartData!B47-Models!$E$17+Models!$B$4*Models!$F$17+Models!$B$4*Models!$G$17*Models!$I$17+Models!$B$5*Models!$H$17)))</f>
        <v>88.899115596112949</v>
      </c>
      <c r="S47" s="136">
        <f>Models!$B$54*EXP(-EXP(Models!$D$54*(ChartData!B47+Models!$C$54+Models!$B$5*Models!$E$54+Models!$B$4*Models!$F$54)))</f>
        <v>99.183390381540164</v>
      </c>
      <c r="T47" s="180">
        <f>Models!$B$18*Models!$I$18+(100-Models!$B$18*Models!$I$18)/(1+EXP(Models!$C$18*(ChartData!B47-Models!$E$18+Models!$B$4*Models!$F$18+Models!$B$4*Models!$G$18*Models!$I$18+Models!$B$5*Models!$H$18)))</f>
        <v>71.670716327954693</v>
      </c>
      <c r="U47" s="180">
        <f>Models!$B$55*EXP(-EXP(Models!$D$55*(ChartData!B47+Models!$C$55+Models!$B$5*Models!$E$55+Models!$B$4*Models!$F$55)))</f>
        <v>99.971593528770626</v>
      </c>
      <c r="V47" s="36">
        <f>Models!$B$19*Models!$I$19+(100-Models!$B$19*Models!$I$19)/(1+EXP(Models!$C$19*(ChartData!$B47-Models!$E$19+Models!$B$5*ChartData!$B47*Models!$F$19+Models!$B$4*Models!$G$19)))</f>
        <v>84.790382243332488</v>
      </c>
      <c r="W47" s="36">
        <f>Models!$B$56*EXP(-EXP(Models!$D$56*(ChartData!B47+Models!$C$56+Models!$B$5*Models!$E$56+Models!$B$4*Models!$F$56)))</f>
        <v>99.231648203235622</v>
      </c>
      <c r="X47" s="158">
        <f>Models!$B$20*Models!$I$20+(100-Models!$B$20*Models!$I$20)/(1+EXP(Models!$C$20*(ChartData!$B47-Models!$E$20+Models!$B$5*ChartData!$B47*Models!$F$20+Models!$B$4*Models!$G$20)))</f>
        <v>78.738007779320725</v>
      </c>
      <c r="Y47" s="158">
        <f>Models!$B$57*EXP(-EXP(Models!$D$57*(ChartData!B47+Models!$C$57+Models!$B$5*Models!$E$57+Models!$B$4*Models!$F$57)))</f>
        <v>99.888915350090386</v>
      </c>
      <c r="Z47" s="165">
        <f>Models!$B$21*Models!$I$21+(100-Models!$B$21*Models!$I$21)/(1+EXP(Models!$C$21*(ChartData!$B47-Models!$E$21+Models!$B$5*ChartData!$B47*Models!$F$21+Models!$B$4*Models!$G$21)))</f>
        <v>80.005003047869224</v>
      </c>
      <c r="AA47" s="165">
        <f>Models!$B$58*EXP(-EXP(Models!$D$58*(ChartData!B47+Models!$C$58+Models!$B$5*Models!$E$58+Models!$B$4*Models!$F$58)))</f>
        <v>99.918815106812104</v>
      </c>
      <c r="AB47" s="146">
        <f>200/(1+EXP(Models!$D$22*((Models!$E$22*Models!$B$4+Models!$B$5)*ChartData!B47)))</f>
        <v>90.605930643268181</v>
      </c>
      <c r="AC47" s="146">
        <f>100*EXP(-EXP(Models!$D$59*(ChartData!B47-Models!$C$59+Models!$E$59*Models!$B$4+Models!$F$59*Models!$B$5)))</f>
        <v>97.086793188569331</v>
      </c>
      <c r="AD47" s="149">
        <f>200/(1+EXP(Models!$D$23*((Models!$E$23*Models!$B$4+Models!$B$5)*ChartData!B47)))</f>
        <v>86.406262247722722</v>
      </c>
      <c r="AE47" s="149">
        <f>100*EXP(-EXP(Models!$D$60*(ChartData!B47-Models!$C$60+Models!$E$60*Models!$B$4+Models!$F$60*Models!$B$5)))</f>
        <v>99.175419663374058</v>
      </c>
      <c r="AF47" s="153">
        <f>200/(1+EXP(Models!$D$24*((Models!$E$24*Models!$B$4+Models!$B$5)*ChartData!B47)))</f>
        <v>85.072755824336767</v>
      </c>
      <c r="AG47" s="153">
        <f>100*EXP(-EXP(Models!$D$61*(ChartData!B47-Models!$C$61+Models!$E$61*Models!$B$4+Models!$F$61*Models!$B$5)))</f>
        <v>99.384137981278997</v>
      </c>
      <c r="AH47" s="266">
        <f>IF('Front Page'!$C$31&gt;0,1-'Front Page'!$C$31,"")</f>
        <v>0.995</v>
      </c>
      <c r="AI47" s="214">
        <f>Models!$B$25*Models!$I$25+(200-Models!$B$25*Models!$I$25)/(1+EXP(Models!$C$25*B47*(Models!$B$4*Models!$F$25+Models!$B$5+Models!$I$25*Models!$G$25)))</f>
        <v>87.24230949843809</v>
      </c>
      <c r="AJ47" s="214">
        <f>100*EXP(-EXP(Models!$D$62*(ChartData!B47-Models!$C$62+Models!$E$62*Models!$B$4+Models!$F$62*Models!$B$5)))</f>
        <v>99.231639766678938</v>
      </c>
      <c r="AK47" s="220">
        <f>Models!$B$26*Models!$I$26+(200-Models!$B$26*Models!$I$26)/(1+EXP(Models!$C$26*B47*(Models!$B$4*Models!$F$26+Models!$B$5+Models!$I$26*Models!$G$26)))</f>
        <v>82.027999375753879</v>
      </c>
      <c r="AL47" s="220">
        <f>100*EXP(-EXP(Models!$D$63*(ChartData!B47-Models!$C$63+Models!$E$63*Models!$B$4+Models!$F$63*Models!$B$5)))</f>
        <v>99.888899639683984</v>
      </c>
      <c r="AM47" s="226">
        <f>Models!$B$27*Models!$I$27+(200-Models!$B$27*Models!$I$27)/(1+EXP(Models!$C$27*B47*(Models!$B$4*Models!$F$27+Models!$B$5+Models!$I$27*Models!$G$27)))</f>
        <v>60.150819458626351</v>
      </c>
      <c r="AN47" s="226">
        <f>100*EXP(-EXP(Models!$D$64*(ChartData!B47-Models!$C$64+Models!$E$64*Models!$B$4+Models!$F$64*Models!$B$5)))</f>
        <v>99.918813752301133</v>
      </c>
      <c r="AO47" s="232">
        <f>Models!$B$28*Models!$I$28+(200-Models!$B$28*Models!$I$28)/(1+EXP(Models!$C$28*B47*(Models!$B$4*Models!$F$28+Models!$B$5+Models!$I$28*Models!$G$28)))</f>
        <v>85.319727872774394</v>
      </c>
      <c r="AP47" s="232">
        <f>100*EXP(-EXP(Models!$D$65*(ChartData!B47-Models!$C$65+Models!$E$65*Models!$B$4+Models!$F$65*Models!$B$5)))</f>
        <v>99.183543197114474</v>
      </c>
      <c r="AQ47" s="238">
        <f>Models!$B$29*Models!$I$29+(200-Models!$B$29*Models!$I$29)/(1+EXP(Models!$C$29*B47*(Models!$B$4*Models!$F$29+Models!$B$5+Models!$I$29*Models!$G$29)))</f>
        <v>78.628036719940894</v>
      </c>
      <c r="AR47" s="238">
        <f>100*EXP(-EXP(Models!$D$66*(ChartData!B47-Models!$C$66+Models!$E$66*Models!$B$4+Models!$F$66*Models!$B$5)))</f>
        <v>99.971589407003876</v>
      </c>
      <c r="AS47" s="244">
        <f>Models!$B$30*Models!$I$30+(200-Models!$B$30*Models!$I$30)/(1+EXP(Models!$C$30*B47*(Models!$B$4*Models!$F$30+Models!$B$5+Models!$I$30*Models!$G$30)))</f>
        <v>78.472226172676869</v>
      </c>
      <c r="AT47" s="244">
        <f>100*EXP(-EXP(Models!$D$67*(ChartData!B47-Models!$C$67+Models!$E$67*Models!$B$4+Models!$F$67*Models!$B$5)))</f>
        <v>99.850609173440404</v>
      </c>
    </row>
    <row r="48" spans="1:46" x14ac:dyDescent="0.2">
      <c r="A48" s="135" t="s">
        <v>287</v>
      </c>
      <c r="B48">
        <v>1400</v>
      </c>
      <c r="C48">
        <f>1-'Front Page'!$C$30</f>
        <v>0.99630303030303036</v>
      </c>
      <c r="D48" s="45">
        <f t="shared" si="0"/>
        <v>77.862142987165043</v>
      </c>
      <c r="E48" s="45">
        <f t="shared" si="1"/>
        <v>99.979051660409866</v>
      </c>
      <c r="F48" s="36">
        <f>Equations!$E$4/(1+EXP(Equations!$F$4*ChartData!B48*(Equations!$G$4*Equations!$C$4+Equations!$D$4)))</f>
        <v>86.707935543571239</v>
      </c>
      <c r="G48" s="36">
        <f>Equations!$E$7*EXP(-EXP(-Equations!$F$7*(ChartData!B48-Equations!$G$7+Equations!$H$7*Equations!$C$7+Equations!$I$7*Equations!$D$7)))</f>
        <v>99.703236448398229</v>
      </c>
      <c r="H48" s="55">
        <f>Models!$B$13+Models!$C$13*EXP(Models!$D$13*ChartData!B48+(Models!$E$13*ChartData!B48*Models!$E$3))</f>
        <v>66.942352283804468</v>
      </c>
      <c r="I48" s="55">
        <f>Models!$B$50*EXP(-EXP(Models!$D$50*(ChartData!B48+Models!$C$50-(Models!$E$50*Models!$B$5))))</f>
        <v>97.986174726127587</v>
      </c>
      <c r="J48" s="57">
        <f>Models!$B$12/(1+EXP(Models!$D$12*(ChartData!B48-Models!$C$12+Models!$E$12*ChartData!B48*Models!$B$5)))</f>
        <v>1.1042670895260885E-14</v>
      </c>
      <c r="K48" s="61">
        <f>Models!$B$49*EXP(-EXP(Models!$D$49*(ChartData!B48-Models!$C$49+(Models!$E$49*ChartData!B48*Models!$B$5))))</f>
        <v>99.973897399698615</v>
      </c>
      <c r="L48" s="62">
        <f>Models!$B$15/(1+EXP(Models!$D$15*(ChartData!B48*(1+Models!$D$15*Models!$B$5)-Models!$C$15)))</f>
        <v>7.9274832680174843</v>
      </c>
      <c r="M48" s="63">
        <f>Models!$B$52*EXP(-EXP(Models!$D$52*(ChartData!B48*(1+Models!$D$52*Models!$B$5)-Models!$C$52)))</f>
        <v>99.989658396388123</v>
      </c>
      <c r="N48" s="53">
        <f>Models!$B$15/(1+EXP(Models!$D$15*(ChartData!B48-Models!$D$15+Models!$E$15*ChartData!B48*Models!$B$5)))</f>
        <v>5.2953120980491706</v>
      </c>
      <c r="O48" s="53">
        <f>Models!$B$52*EXP(-EXP(Models!$D$52*(ChartData!B48-Models!$C$52+Models!$E$52*ChartData!B48*Models!$B$5)))</f>
        <v>99.996618829807147</v>
      </c>
      <c r="P48" s="172">
        <f>Models!$B$16*Models!$I$16+(100-Models!$B$16*Models!$I$16)/(1+EXP(Models!$C$16*(ChartData!B48-Models!$E$16+Models!$B$4*Models!$F$16+Models!$B$4*Models!$G$16*Models!$I$16+Models!$B$5*Models!$H$16)))</f>
        <v>76.326300820681084</v>
      </c>
      <c r="Q48" s="172">
        <f>Models!$B$53*EXP(-EXP(Models!$D$53*(ChartData!B48+Models!$C$53+Models!$B$5*Models!$E$53+Models!$B$4*Models!$F$53)))</f>
        <v>99.95666400517149</v>
      </c>
      <c r="R48" s="136">
        <f>Models!$B$17*Models!$I$17+(100-Models!$B$17*Models!$I$17)/(1+EXP(Models!$C$17*(ChartData!B48-Models!$E$17+Models!$B$4*Models!$F$17+Models!$B$4*Models!$G$17*Models!$I$17+Models!$B$5*Models!$H$17)))</f>
        <v>87.970635965954074</v>
      </c>
      <c r="S48" s="136">
        <f>Models!$B$54*EXP(-EXP(Models!$D$54*(ChartData!B48+Models!$C$54+Models!$B$5*Models!$E$54+Models!$B$4*Models!$F$54)))</f>
        <v>99.322215335390069</v>
      </c>
      <c r="T48" s="180">
        <f>Models!$B$18*Models!$I$18+(100-Models!$B$18*Models!$I$18)/(1+EXP(Models!$C$18*(ChartData!B48-Models!$E$18+Models!$B$4*Models!$F$18+Models!$B$4*Models!$G$18*Models!$I$18+Models!$B$5*Models!$H$18)))</f>
        <v>68.951961358415161</v>
      </c>
      <c r="U48" s="180">
        <f>Models!$B$55*EXP(-EXP(Models!$D$55*(ChartData!B48+Models!$C$55+Models!$B$5*Models!$E$55+Models!$B$4*Models!$F$55)))</f>
        <v>99.979054804392632</v>
      </c>
      <c r="V48" s="36">
        <f>Models!$B$19*Models!$I$19+(100-Models!$B$19*Models!$I$19)/(1+EXP(Models!$C$19*(ChartData!$B48-Models!$E$19+Models!$B$5*ChartData!$B48*Models!$F$19+Models!$B$4*Models!$G$19)))</f>
        <v>84.384229129857744</v>
      </c>
      <c r="W48" s="36">
        <f>Models!$B$56*EXP(-EXP(Models!$D$56*(ChartData!B48+Models!$C$56+Models!$B$5*Models!$E$56+Models!$B$4*Models!$F$56)))</f>
        <v>99.33048080198455</v>
      </c>
      <c r="X48" s="158">
        <f>Models!$B$20*Models!$I$20+(100-Models!$B$20*Models!$I$20)/(1+EXP(Models!$C$20*(ChartData!$B48-Models!$E$20+Models!$B$5*ChartData!$B48*Models!$F$20+Models!$B$4*Models!$G$20)))</f>
        <v>77.958811802550642</v>
      </c>
      <c r="Y48" s="158">
        <f>Models!$B$57*EXP(-EXP(Models!$D$57*(ChartData!B48+Models!$C$57+Models!$B$5*Models!$E$57+Models!$B$4*Models!$F$57)))</f>
        <v>99.909861503174525</v>
      </c>
      <c r="Z48" s="165">
        <f>Models!$B$21*Models!$I$21+(100-Models!$B$21*Models!$I$21)/(1+EXP(Models!$C$21*(ChartData!$B48-Models!$E$21+Models!$B$5*ChartData!$B48*Models!$F$21+Models!$B$4*Models!$G$21)))</f>
        <v>79.217356020122054</v>
      </c>
      <c r="AA48" s="165">
        <f>Models!$B$58*EXP(-EXP(Models!$D$58*(ChartData!B48+Models!$C$58+Models!$B$5*Models!$E$58+Models!$B$4*Models!$F$58)))</f>
        <v>99.934884372074009</v>
      </c>
      <c r="AB48" s="146">
        <f>200/(1+EXP(Models!$D$22*((Models!$E$22*Models!$B$4+Models!$B$5)*ChartData!B48)))</f>
        <v>90.260167469665632</v>
      </c>
      <c r="AC48" s="146">
        <f>100*EXP(-EXP(Models!$D$59*(ChartData!B48-Models!$C$59+Models!$E$59*Models!$B$4+Models!$F$59*Models!$B$5)))</f>
        <v>97.351837009168278</v>
      </c>
      <c r="AD48" s="149">
        <f>200/(1+EXP(Models!$D$23*((Models!$E$23*Models!$B$4+Models!$B$5)*ChartData!B48)))</f>
        <v>85.909362462781743</v>
      </c>
      <c r="AE48" s="149">
        <f>100*EXP(-EXP(Models!$D$60*(ChartData!B48-Models!$C$60+Models!$E$60*Models!$B$4+Models!$F$60*Models!$B$5)))</f>
        <v>99.28523259293452</v>
      </c>
      <c r="AF48" s="153">
        <f>200/(1+EXP(Models!$D$24*((Models!$E$24*Models!$B$4+Models!$B$5)*ChartData!B48)))</f>
        <v>84.528602624399099</v>
      </c>
      <c r="AG48" s="153">
        <f>100*EXP(-EXP(Models!$D$61*(ChartData!B48-Models!$C$61+Models!$E$61*Models!$B$4+Models!$F$61*Models!$B$5)))</f>
        <v>99.471929918166254</v>
      </c>
      <c r="AH48" s="266">
        <f>IF('Front Page'!$C$31&gt;0,1-'Front Page'!$C$31,"")</f>
        <v>0.995</v>
      </c>
      <c r="AI48" s="214">
        <f>Models!$B$25*Models!$I$25+(200-Models!$B$25*Models!$I$25)/(1+EXP(Models!$C$25*B48*(Models!$B$4*Models!$F$25+Models!$B$5+Models!$I$25*Models!$G$25)))</f>
        <v>86.77523283932932</v>
      </c>
      <c r="AJ48" s="214">
        <f>100*EXP(-EXP(Models!$D$62*(ChartData!B48-Models!$C$62+Models!$E$62*Models!$B$4+Models!$F$62*Models!$B$5)))</f>
        <v>99.330473446952297</v>
      </c>
      <c r="AK48" s="220">
        <f>Models!$B$26*Models!$I$26+(200-Models!$B$26*Models!$I$26)/(1+EXP(Models!$C$26*B48*(Models!$B$4*Models!$F$26+Models!$B$5+Models!$I$26*Models!$G$26)))</f>
        <v>81.377592944997971</v>
      </c>
      <c r="AL48" s="220">
        <f>100*EXP(-EXP(Models!$D$63*(ChartData!B48-Models!$C$63+Models!$E$63*Models!$B$4+Models!$F$63*Models!$B$5)))</f>
        <v>99.909848303235748</v>
      </c>
      <c r="AM48" s="226">
        <f>Models!$B$27*Models!$I$27+(200-Models!$B$27*Models!$I$27)/(1+EXP(Models!$C$27*B48*(Models!$B$4*Models!$F$27+Models!$B$5+Models!$I$27*Models!$G$27)))</f>
        <v>58.73510985546995</v>
      </c>
      <c r="AN48" s="226">
        <f>100*EXP(-EXP(Models!$D$64*(ChartData!B48-Models!$C$64+Models!$E$64*Models!$B$4+Models!$F$64*Models!$B$5)))</f>
        <v>99.934883285579673</v>
      </c>
      <c r="AO48" s="232">
        <f>Models!$B$28*Models!$I$28+(200-Models!$B$28*Models!$I$28)/(1+EXP(Models!$C$28*B48*(Models!$B$4*Models!$F$28+Models!$B$5+Models!$I$28*Models!$G$28)))</f>
        <v>84.784295645096989</v>
      </c>
      <c r="AP48" s="232">
        <f>100*EXP(-EXP(Models!$D$65*(ChartData!B48-Models!$C$65+Models!$E$65*Models!$B$4+Models!$F$65*Models!$B$5)))</f>
        <v>99.322342260898552</v>
      </c>
      <c r="AQ48" s="238">
        <f>Models!$B$29*Models!$I$29+(200-Models!$B$29*Models!$I$29)/(1+EXP(Models!$C$29*B48*(Models!$B$4*Models!$F$29+Models!$B$5+Models!$I$29*Models!$G$29)))</f>
        <v>77.862142987165043</v>
      </c>
      <c r="AR48" s="238">
        <f>100*EXP(-EXP(Models!$D$66*(ChartData!B48-Models!$C$66+Models!$E$66*Models!$B$4+Models!$F$66*Models!$B$5)))</f>
        <v>99.979051660409866</v>
      </c>
      <c r="AS48" s="244">
        <f>Models!$B$30*Models!$I$30+(200-Models!$B$30*Models!$I$30)/(1+EXP(Models!$C$30*B48*(Models!$B$4*Models!$F$30+Models!$B$5+Models!$I$30*Models!$G$30)))</f>
        <v>77.549916716578053</v>
      </c>
      <c r="AT48" s="244">
        <f>100*EXP(-EXP(Models!$D$67*(ChartData!B48-Models!$C$67+Models!$E$67*Models!$B$4+Models!$F$67*Models!$B$5)))</f>
        <v>99.88330840124965</v>
      </c>
    </row>
    <row r="49" spans="1:46" x14ac:dyDescent="0.2">
      <c r="A49" s="135" t="s">
        <v>296</v>
      </c>
      <c r="B49">
        <v>1450</v>
      </c>
      <c r="C49">
        <f>1-'Front Page'!$C$30</f>
        <v>0.99630303030303036</v>
      </c>
      <c r="D49" s="45">
        <f t="shared" si="0"/>
        <v>77.098970577453287</v>
      </c>
      <c r="E49" s="45">
        <f t="shared" si="1"/>
        <v>99.984554048911932</v>
      </c>
      <c r="F49" s="36">
        <f>Equations!$E$4/(1+EXP(Equations!$F$4*ChartData!B49*(Equations!$G$4*Equations!$C$4+Equations!$D$4)))</f>
        <v>86.239131499132796</v>
      </c>
      <c r="G49" s="36">
        <f>Equations!$E$7*EXP(-EXP(-Equations!$F$7*(ChartData!B49-Equations!$G$7+Equations!$H$7*Equations!$C$7+Equations!$I$7*Equations!$D$7)))</f>
        <v>99.749015767239669</v>
      </c>
      <c r="H49" s="55">
        <f>Models!$B$13+Models!$C$13*EXP(Models!$D$13*ChartData!B49+(Models!$E$13*ChartData!B49*Models!$E$3))</f>
        <v>66.052308145269365</v>
      </c>
      <c r="I49" s="55">
        <f>Models!$B$50*EXP(-EXP(Models!$D$50*(ChartData!B49+Models!$C$50-(Models!$E$50*Models!$B$5))))</f>
        <v>98.200292890902702</v>
      </c>
      <c r="J49" s="57">
        <f>Models!$B$12/(1+EXP(Models!$D$12*(ChartData!B49-Models!$C$12+Models!$E$12*ChartData!B49*Models!$B$5)))</f>
        <v>1.7738759247831158E-15</v>
      </c>
      <c r="K49" s="61">
        <f>Models!$B$49*EXP(-EXP(Models!$D$49*(ChartData!B49-Models!$C$49+(Models!$E$49*ChartData!B49*Models!$B$5))))</f>
        <v>99.981616499682815</v>
      </c>
      <c r="L49" s="62">
        <f>Models!$B$15/(1+EXP(Models!$D$15*(ChartData!B49*(1+Models!$D$15*Models!$B$5)-Models!$C$15)))</f>
        <v>7.0971435026744549</v>
      </c>
      <c r="M49" s="63">
        <f>Models!$B$52*EXP(-EXP(Models!$D$52*(ChartData!B49*(1+Models!$D$52*Models!$B$5)-Models!$C$52)))</f>
        <v>99.992949603216701</v>
      </c>
      <c r="N49" s="53">
        <f>Models!$B$15/(1+EXP(Models!$D$15*(ChartData!B49-Models!$D$15+Models!$E$15*ChartData!B49*Models!$B$5)))</f>
        <v>4.6705983357036827</v>
      </c>
      <c r="O49" s="53">
        <f>Models!$B$52*EXP(-EXP(Models!$D$52*(ChartData!B49-Models!$C$52+Models!$E$52*ChartData!B49*Models!$B$5)))</f>
        <v>99.997785133684857</v>
      </c>
      <c r="P49" s="172">
        <f>Models!$B$16*Models!$I$16+(100-Models!$B$16*Models!$I$16)/(1+EXP(Models!$C$16*(ChartData!B49-Models!$E$16+Models!$B$4*Models!$F$16+Models!$B$4*Models!$G$16*Models!$I$16+Models!$B$5*Models!$H$16)))</f>
        <v>74.194509823296286</v>
      </c>
      <c r="Q49" s="172">
        <f>Models!$B$53*EXP(-EXP(Models!$D$53*(ChartData!B49+Models!$C$53+Models!$B$5*Models!$E$53+Models!$B$4*Models!$F$53)))</f>
        <v>99.967259050555597</v>
      </c>
      <c r="R49" s="136">
        <f>Models!$B$17*Models!$I$17+(100-Models!$B$17*Models!$I$17)/(1+EXP(Models!$C$17*(ChartData!B49-Models!$E$17+Models!$B$4*Models!$F$17+Models!$B$4*Models!$G$17*Models!$I$17+Models!$B$5*Models!$H$17)))</f>
        <v>86.975875436466467</v>
      </c>
      <c r="S49" s="136">
        <f>Models!$B$54*EXP(-EXP(Models!$D$54*(ChartData!B49+Models!$C$54+Models!$B$5*Models!$E$54+Models!$B$4*Models!$F$54)))</f>
        <v>99.437506776620239</v>
      </c>
      <c r="T49" s="180">
        <f>Models!$B$18*Models!$I$18+(100-Models!$B$18*Models!$I$18)/(1+EXP(Models!$C$18*(ChartData!B49-Models!$E$18+Models!$B$4*Models!$F$18+Models!$B$4*Models!$G$18*Models!$I$18+Models!$B$5*Models!$H$18)))</f>
        <v>66.111570531373005</v>
      </c>
      <c r="U49" s="180">
        <f>Models!$B$55*EXP(-EXP(Models!$D$55*(ChartData!B49+Models!$C$55+Models!$B$5*Models!$E$55+Models!$B$4*Models!$F$55)))</f>
        <v>99.984556444357324</v>
      </c>
      <c r="V49" s="36">
        <f>Models!$B$19*Models!$I$19+(100-Models!$B$19*Models!$I$19)/(1+EXP(Models!$C$19*(ChartData!$B49-Models!$E$19+Models!$B$5*ChartData!$B49*Models!$F$19+Models!$B$4*Models!$G$19)))</f>
        <v>83.969280761688793</v>
      </c>
      <c r="W49" s="36">
        <f>Models!$B$56*EXP(-EXP(Models!$D$56*(ChartData!B49+Models!$C$56+Models!$B$5*Models!$E$56+Models!$B$4*Models!$F$56)))</f>
        <v>99.416638018853249</v>
      </c>
      <c r="X49" s="158">
        <f>Models!$B$20*Models!$I$20+(100-Models!$B$20*Models!$I$20)/(1+EXP(Models!$C$20*(ChartData!$B49-Models!$E$20+Models!$B$5*ChartData!$B49*Models!$F$20+Models!$B$4*Models!$G$20)))</f>
        <v>77.159343841642837</v>
      </c>
      <c r="Y49" s="158">
        <f>Models!$B$57*EXP(-EXP(Models!$D$57*(ChartData!B49+Models!$C$57+Models!$B$5*Models!$E$57+Models!$B$4*Models!$F$57)))</f>
        <v>99.92685948975894</v>
      </c>
      <c r="Z49" s="165">
        <f>Models!$B$21*Models!$I$21+(100-Models!$B$21*Models!$I$21)/(1+EXP(Models!$C$21*(ChartData!$B49-Models!$E$21+Models!$B$5*ChartData!$B49*Models!$F$21+Models!$B$4*Models!$G$21)))</f>
        <v>78.40867717265111</v>
      </c>
      <c r="AA49" s="165">
        <f>Models!$B$58*EXP(-EXP(Models!$D$58*(ChartData!B49+Models!$C$58+Models!$B$5*Models!$E$58+Models!$B$4*Models!$F$58)))</f>
        <v>99.947773811763582</v>
      </c>
      <c r="AB49" s="146">
        <f>200/(1+EXP(Models!$D$22*((Models!$E$22*Models!$B$4+Models!$B$5)*ChartData!B49)))</f>
        <v>89.914639250318331</v>
      </c>
      <c r="AC49" s="146">
        <f>100*EXP(-EXP(Models!$D$59*(ChartData!B49-Models!$C$59+Models!$E$59*Models!$B$4+Models!$F$59*Models!$B$5)))</f>
        <v>97.59306696923143</v>
      </c>
      <c r="AD49" s="149">
        <f>200/(1+EXP(Models!$D$23*((Models!$E$23*Models!$B$4+Models!$B$5)*ChartData!B49)))</f>
        <v>85.413171582323841</v>
      </c>
      <c r="AE49" s="149">
        <f>100*EXP(-EXP(Models!$D$60*(ChartData!B49-Models!$C$60+Models!$E$60*Models!$B$4+Models!$F$60*Models!$B$5)))</f>
        <v>99.380466967928641</v>
      </c>
      <c r="AF49" s="153">
        <f>200/(1+EXP(Models!$D$24*((Models!$E$24*Models!$B$4+Models!$B$5)*ChartData!B49)))</f>
        <v>83.985386501431364</v>
      </c>
      <c r="AG49" s="153">
        <f>100*EXP(-EXP(Models!$D$61*(ChartData!B49-Models!$C$61+Models!$E$61*Models!$B$4+Models!$F$61*Models!$B$5)))</f>
        <v>99.547235519681024</v>
      </c>
      <c r="AH49" s="266">
        <f>IF('Front Page'!$C$31&gt;0,1-'Front Page'!$C$31,"")</f>
        <v>0.995</v>
      </c>
      <c r="AI49" s="214">
        <f>Models!$B$25*Models!$I$25+(200-Models!$B$25*Models!$I$25)/(1+EXP(Models!$C$25*B49*(Models!$B$4*Models!$F$25+Models!$B$5+Models!$I$25*Models!$G$25)))</f>
        <v>86.30874273881588</v>
      </c>
      <c r="AJ49" s="214">
        <f>100*EXP(-EXP(Models!$D$62*(ChartData!B49-Models!$C$62+Models!$E$62*Models!$B$4+Models!$F$62*Models!$B$5)))</f>
        <v>99.4166316075232</v>
      </c>
      <c r="AK49" s="220">
        <f>Models!$B$26*Models!$I$26+(200-Models!$B$26*Models!$I$26)/(1+EXP(Models!$C$26*B49*(Models!$B$4*Models!$F$26+Models!$B$5+Models!$I$26*Models!$G$26)))</f>
        <v>80.728814593021397</v>
      </c>
      <c r="AL49" s="220">
        <f>100*EXP(-EXP(Models!$D$63*(ChartData!B49-Models!$C$63+Models!$E$63*Models!$B$4+Models!$F$63*Models!$B$5)))</f>
        <v>99.926848412481561</v>
      </c>
      <c r="AM49" s="226">
        <f>Models!$B$27*Models!$I$27+(200-Models!$B$27*Models!$I$27)/(1+EXP(Models!$C$27*B49*(Models!$B$4*Models!$F$27+Models!$B$5+Models!$I$27*Models!$G$27)))</f>
        <v>57.350930681556733</v>
      </c>
      <c r="AN49" s="226">
        <f>100*EXP(-EXP(Models!$D$64*(ChartData!B49-Models!$C$64+Models!$E$64*Models!$B$4+Models!$F$64*Models!$B$5)))</f>
        <v>99.947772940281297</v>
      </c>
      <c r="AO49" s="232">
        <f>Models!$B$28*Models!$I$28+(200-Models!$B$28*Models!$I$28)/(1+EXP(Models!$C$28*B49*(Models!$B$4*Models!$F$28+Models!$B$5+Models!$I$28*Models!$G$28)))</f>
        <v>84.24975503817879</v>
      </c>
      <c r="AP49" s="232">
        <f>100*EXP(-EXP(Models!$D$65*(ChartData!B49-Models!$C$65+Models!$E$65*Models!$B$4+Models!$F$65*Models!$B$5)))</f>
        <v>99.437612173219108</v>
      </c>
      <c r="AQ49" s="238">
        <f>Models!$B$29*Models!$I$29+(200-Models!$B$29*Models!$I$29)/(1+EXP(Models!$C$29*B49*(Models!$B$4*Models!$F$29+Models!$B$5+Models!$I$29*Models!$G$29)))</f>
        <v>77.098970577453287</v>
      </c>
      <c r="AR49" s="238">
        <f>100*EXP(-EXP(Models!$D$66*(ChartData!B49-Models!$C$66+Models!$E$66*Models!$B$4+Models!$F$66*Models!$B$5)))</f>
        <v>99.984554048911932</v>
      </c>
      <c r="AS49" s="244">
        <f>Models!$B$30*Models!$I$30+(200-Models!$B$30*Models!$I$30)/(1+EXP(Models!$C$30*B49*(Models!$B$4*Models!$F$30+Models!$B$5+Models!$I$30*Models!$G$30)))</f>
        <v>76.633150914268882</v>
      </c>
      <c r="AT49" s="244">
        <f>100*EXP(-EXP(Models!$D$67*(ChartData!B49-Models!$C$67+Models!$E$67*Models!$B$4+Models!$F$67*Models!$B$5)))</f>
        <v>99.908853565538806</v>
      </c>
    </row>
    <row r="50" spans="1:46" x14ac:dyDescent="0.2">
      <c r="B50">
        <v>1500</v>
      </c>
      <c r="C50">
        <f>1-'Front Page'!$C$30</f>
        <v>0.99630303030303036</v>
      </c>
      <c r="D50" s="45">
        <f t="shared" si="0"/>
        <v>76.338603130356503</v>
      </c>
      <c r="E50" s="45">
        <f t="shared" si="1"/>
        <v>99.988611236724552</v>
      </c>
      <c r="F50" s="36">
        <f>Equations!$E$4/(1+EXP(Equations!$F$4*ChartData!B50*(Equations!$G$4*Equations!$C$4+Equations!$D$4)))</f>
        <v>85.770943184939</v>
      </c>
      <c r="G50" s="36">
        <f>Equations!$E$7*EXP(-EXP(-Equations!$F$7*(ChartData!B50-Equations!$G$7+Equations!$H$7*Equations!$C$7+Equations!$I$7*Equations!$D$7)))</f>
        <v>99.787740598613468</v>
      </c>
      <c r="H50" s="55">
        <f>Models!$B$13+Models!$C$13*EXP(Models!$D$13*ChartData!B50+(Models!$E$13*ChartData!B50*Models!$E$3))</f>
        <v>65.178753177869368</v>
      </c>
      <c r="I50" s="55">
        <f>Models!$B$50*EXP(-EXP(Models!$D$50*(ChartData!B50+Models!$C$50-(Models!$E$50*Models!$B$5))))</f>
        <v>98.391832322163481</v>
      </c>
      <c r="J50" s="57">
        <f>Models!$B$12/(1+EXP(Models!$D$12*(ChartData!B50-Models!$C$12+Models!$E$12*ChartData!B50*Models!$B$5)))</f>
        <v>2.8495242015005415E-16</v>
      </c>
      <c r="K50" s="61">
        <f>Models!$B$49*EXP(-EXP(Models!$D$49*(ChartData!B50-Models!$C$49+(Models!$E$49*ChartData!B50*Models!$B$5))))</f>
        <v>99.987053043688022</v>
      </c>
      <c r="L50" s="62">
        <f>Models!$B$15/(1+EXP(Models!$D$15*(ChartData!B50*(1+Models!$D$15*Models!$B$5)-Models!$C$15)))</f>
        <v>6.3508993947308934</v>
      </c>
      <c r="M50" s="63">
        <f>Models!$B$52*EXP(-EXP(Models!$D$52*(ChartData!B50*(1+Models!$D$52*Models!$B$5)-Models!$C$52)))</f>
        <v>99.995193411359054</v>
      </c>
      <c r="N50" s="53">
        <f>Models!$B$15/(1+EXP(Models!$D$15*(ChartData!B50-Models!$D$15+Models!$E$15*ChartData!B50*Models!$B$5)))</f>
        <v>4.1180263244518365</v>
      </c>
      <c r="O50" s="53">
        <f>Models!$B$52*EXP(-EXP(Models!$D$52*(ChartData!B50-Models!$C$52+Models!$E$52*ChartData!B50*Models!$B$5)))</f>
        <v>99.998549134575896</v>
      </c>
      <c r="P50" s="172">
        <f>Models!$B$16*Models!$I$16+(100-Models!$B$16*Models!$I$16)/(1+EXP(Models!$C$16*(ChartData!B50-Models!$E$16+Models!$B$4*Models!$F$16+Models!$B$4*Models!$G$16*Models!$I$16+Models!$B$5*Models!$H$16)))</f>
        <v>71.941322700697683</v>
      </c>
      <c r="Q50" s="172">
        <f>Models!$B$53*EXP(-EXP(Models!$D$53*(ChartData!B50+Models!$C$53+Models!$B$5*Models!$E$53+Models!$B$4*Models!$F$53)))</f>
        <v>99.975264075856401</v>
      </c>
      <c r="R50" s="136">
        <f>Models!$B$17*Models!$I$17+(100-Models!$B$17*Models!$I$17)/(1+EXP(Models!$C$17*(ChartData!B50-Models!$E$17+Models!$B$4*Models!$F$17+Models!$B$4*Models!$G$17*Models!$I$17+Models!$B$5*Models!$H$17)))</f>
        <v>85.912027445840991</v>
      </c>
      <c r="S50" s="136">
        <f>Models!$B$54*EXP(-EXP(Models!$D$54*(ChartData!B50+Models!$C$54+Models!$B$5*Models!$E$54+Models!$B$4*Models!$F$54)))</f>
        <v>99.533233197352217</v>
      </c>
      <c r="T50" s="180">
        <f>Models!$B$18*Models!$I$18+(100-Models!$B$18*Models!$I$18)/(1+EXP(Models!$C$18*(ChartData!B50-Models!$E$18+Models!$B$4*Models!$F$18+Models!$B$4*Models!$G$18*Models!$I$18+Models!$B$5*Models!$H$18)))</f>
        <v>63.168832507259523</v>
      </c>
      <c r="U50" s="180">
        <f>Models!$B$55*EXP(-EXP(Models!$D$55*(ChartData!B50+Models!$C$55+Models!$B$5*Models!$E$55+Models!$B$4*Models!$F$55)))</f>
        <v>99.988613059925754</v>
      </c>
      <c r="V50" s="36">
        <f>Models!$B$19*Models!$I$19+(100-Models!$B$19*Models!$I$19)/(1+EXP(Models!$C$19*(ChartData!$B50-Models!$E$19+Models!$B$5*ChartData!$B50*Models!$F$19+Models!$B$4*Models!$G$19)))</f>
        <v>83.545456276687943</v>
      </c>
      <c r="W50" s="36">
        <f>Models!$B$56*EXP(-EXP(Models!$D$56*(ChartData!B50+Models!$C$56+Models!$B$5*Models!$E$56+Models!$B$4*Models!$F$56)))</f>
        <v>99.491736458200393</v>
      </c>
      <c r="X50" s="158">
        <f>Models!$B$20*Models!$I$20+(100-Models!$B$20*Models!$I$20)/(1+EXP(Models!$C$20*(ChartData!$B50-Models!$E$20+Models!$B$5*ChartData!$B50*Models!$F$20+Models!$B$4*Models!$G$20)))</f>
        <v>76.339678750288627</v>
      </c>
      <c r="Y50" s="158">
        <f>Models!$B$57*EXP(-EXP(Models!$D$57*(ChartData!B50+Models!$C$57+Models!$B$5*Models!$E$57+Models!$B$4*Models!$F$57)))</f>
        <v>99.940653010537574</v>
      </c>
      <c r="Z50" s="165">
        <f>Models!$B$21*Models!$I$21+(100-Models!$B$21*Models!$I$21)/(1+EXP(Models!$C$21*(ChartData!$B50-Models!$E$21+Models!$B$5*ChartData!$B50*Models!$F$21+Models!$B$4*Models!$G$21)))</f>
        <v>77.579183165714113</v>
      </c>
      <c r="AA50" s="165">
        <f>Models!$B$58*EXP(-EXP(Models!$D$58*(ChartData!B50+Models!$C$58+Models!$B$5*Models!$E$58+Models!$B$4*Models!$F$58)))</f>
        <v>99.958112360958452</v>
      </c>
      <c r="AB50" s="146">
        <f>200/(1+EXP(Models!$D$22*((Models!$E$22*Models!$B$4+Models!$B$5)*ChartData!B50)))</f>
        <v>89.569354152161935</v>
      </c>
      <c r="AC50" s="146">
        <f>100*EXP(-EXP(Models!$D$59*(ChartData!B50-Models!$C$59+Models!$E$59*Models!$B$4+Models!$F$59*Models!$B$5)))</f>
        <v>97.812570072968867</v>
      </c>
      <c r="AD50" s="149">
        <f>200/(1+EXP(Models!$D$23*((Models!$E$23*Models!$B$4+Models!$B$5)*ChartData!B50)))</f>
        <v>84.917713504487168</v>
      </c>
      <c r="AE50" s="149">
        <f>100*EXP(-EXP(Models!$D$60*(ChartData!B50-Models!$C$60+Models!$E$60*Models!$B$4+Models!$F$60*Models!$B$5)))</f>
        <v>99.463046810960606</v>
      </c>
      <c r="AF50" s="153">
        <f>200/(1+EXP(Models!$D$24*((Models!$E$24*Models!$B$4+Models!$B$5)*ChartData!B50)))</f>
        <v>83.443138657479608</v>
      </c>
      <c r="AG50" s="153">
        <f>100*EXP(-EXP(Models!$D$61*(ChartData!B50-Models!$C$61+Models!$E$61*Models!$B$4+Models!$F$61*Models!$B$5)))</f>
        <v>99.611823104071689</v>
      </c>
      <c r="AH50" s="266">
        <f>IF('Front Page'!$C$31&gt;0,1-'Front Page'!$C$31,"")</f>
        <v>0.995</v>
      </c>
      <c r="AI50" s="214">
        <f>Models!$B$25*Models!$I$25+(200-Models!$B$25*Models!$I$25)/(1+EXP(Models!$C$25*B50*(Models!$B$4*Models!$F$25+Models!$B$5+Models!$I$25*Models!$G$25)))</f>
        <v>85.842859111130252</v>
      </c>
      <c r="AJ50" s="214">
        <f>100*EXP(-EXP(Models!$D$62*(ChartData!B50-Models!$C$62+Models!$E$62*Models!$B$4+Models!$F$62*Models!$B$5)))</f>
        <v>99.491730870114239</v>
      </c>
      <c r="AK50" s="220">
        <f>Models!$B$26*Models!$I$26+(200-Models!$B$26*Models!$I$26)/(1+EXP(Models!$C$26*B50*(Models!$B$4*Models!$F$26+Models!$B$5+Models!$I$26*Models!$G$26)))</f>
        <v>80.081716749172628</v>
      </c>
      <c r="AL50" s="220">
        <f>100*EXP(-EXP(Models!$D$63*(ChartData!B50-Models!$C$63+Models!$E$63*Models!$B$4+Models!$F$63*Models!$B$5)))</f>
        <v>99.940643725003639</v>
      </c>
      <c r="AM50" s="226">
        <f>Models!$B$27*Models!$I$27+(200-Models!$B$27*Models!$I$27)/(1+EXP(Models!$C$27*B50*(Models!$B$4*Models!$F$27+Models!$B$5+Models!$I$27*Models!$G$27)))</f>
        <v>55.998439666967379</v>
      </c>
      <c r="AN50" s="226">
        <f>100*EXP(-EXP(Models!$D$64*(ChartData!B50-Models!$C$64+Models!$E$64*Models!$B$4+Models!$F$64*Models!$B$5)))</f>
        <v>99.958111661956181</v>
      </c>
      <c r="AO50" s="232">
        <f>Models!$B$28*Models!$I$28+(200-Models!$B$28*Models!$I$28)/(1+EXP(Models!$C$28*B50*(Models!$B$4*Models!$F$28+Models!$B$5+Models!$I$28*Models!$G$28)))</f>
        <v>83.716135811543396</v>
      </c>
      <c r="AP50" s="232">
        <f>100*EXP(-EXP(Models!$D$65*(ChartData!B50-Models!$C$65+Models!$E$65*Models!$B$4+Models!$F$65*Models!$B$5)))</f>
        <v>99.533320699425914</v>
      </c>
      <c r="AQ50" s="238">
        <f>Models!$B$29*Models!$I$29+(200-Models!$B$29*Models!$I$29)/(1+EXP(Models!$C$29*B50*(Models!$B$4*Models!$F$29+Models!$B$5+Models!$I$29*Models!$G$29)))</f>
        <v>76.338603130356503</v>
      </c>
      <c r="AR50" s="238">
        <f>100*EXP(-EXP(Models!$D$66*(ChartData!B50-Models!$C$66+Models!$E$66*Models!$B$4+Models!$F$66*Models!$B$5)))</f>
        <v>99.988611236724552</v>
      </c>
      <c r="AS50" s="244">
        <f>Models!$B$30*Models!$I$30+(200-Models!$B$30*Models!$I$30)/(1+EXP(Models!$C$30*B50*(Models!$B$4*Models!$F$30+Models!$B$5+Models!$I$30*Models!$G$30)))</f>
        <v>75.722080154438771</v>
      </c>
      <c r="AT50" s="244">
        <f>100*EXP(-EXP(Models!$D$67*(ChartData!B50-Models!$C$67+Models!$E$67*Models!$B$4+Models!$F$67*Models!$B$5)))</f>
        <v>99.928808585681523</v>
      </c>
    </row>
    <row r="51" spans="1:46" x14ac:dyDescent="0.2">
      <c r="A51" s="115" t="s">
        <v>304</v>
      </c>
      <c r="B51">
        <v>1550</v>
      </c>
      <c r="C51">
        <f>1-'Front Page'!$C$30</f>
        <v>0.99630303030303036</v>
      </c>
      <c r="D51" s="45">
        <f t="shared" si="0"/>
        <v>75.581122949339502</v>
      </c>
      <c r="E51" s="45">
        <f t="shared" si="1"/>
        <v>99.991602767808018</v>
      </c>
      <c r="F51" s="36">
        <f>Equations!$E$4/(1+EXP(Equations!$F$4*ChartData!B51*(Equations!$G$4*Equations!$C$4+Equations!$D$4)))</f>
        <v>85.303390699657143</v>
      </c>
      <c r="G51" s="36">
        <f>Equations!$E$7*EXP(-EXP(-Equations!$F$7*(ChartData!B51-Equations!$G$7+Equations!$H$7*Equations!$C$7+Equations!$I$7*Equations!$D$7)))</f>
        <v>99.820495879632503</v>
      </c>
      <c r="H51" s="55">
        <f>Models!$B$13+Models!$C$13*EXP(Models!$D$13*ChartData!B51+(Models!$E$13*ChartData!B51*Models!$E$3))</f>
        <v>64.321381899266072</v>
      </c>
      <c r="I51" s="55">
        <f>Models!$B$50*EXP(-EXP(Models!$D$50*(ChartData!B51+Models!$C$50-(Models!$E$50*Models!$B$5))))</f>
        <v>98.563135973796648</v>
      </c>
      <c r="J51" s="57">
        <f>Models!$B$12/(1+EXP(Models!$D$12*(ChartData!B51-Models!$C$12+Models!$E$12*ChartData!B51*Models!$B$5)))</f>
        <v>4.577427350748937E-17</v>
      </c>
      <c r="K51" s="61">
        <f>Models!$B$49*EXP(-EXP(Models!$D$49*(ChartData!B51-Models!$C$49+(Models!$E$49*ChartData!B51*Models!$B$5))))</f>
        <v>99.990881914372281</v>
      </c>
      <c r="L51" s="62">
        <f>Models!$B$15/(1+EXP(Models!$D$15*(ChartData!B51*(1+Models!$D$15*Models!$B$5)-Models!$C$15)))</f>
        <v>5.6808099625010264</v>
      </c>
      <c r="M51" s="63">
        <f>Models!$B$52*EXP(-EXP(Models!$D$52*(ChartData!B51*(1+Models!$D$52*Models!$B$5)-Models!$C$52)))</f>
        <v>99.996723133097618</v>
      </c>
      <c r="N51" s="53">
        <f>Models!$B$15/(1+EXP(Models!$D$15*(ChartData!B51-Models!$D$15+Models!$E$15*ChartData!B51*Models!$B$5)))</f>
        <v>3.6296135603966309</v>
      </c>
      <c r="O51" s="53">
        <f>Models!$B$52*EXP(-EXP(Models!$D$52*(ChartData!B51-Models!$C$52+Models!$E$52*ChartData!B51*Models!$B$5)))</f>
        <v>99.999049600560227</v>
      </c>
      <c r="P51" s="172">
        <f>Models!$B$16*Models!$I$16+(100-Models!$B$16*Models!$I$16)/(1+EXP(Models!$C$16*(ChartData!B51-Models!$E$16+Models!$B$4*Models!$F$16+Models!$B$4*Models!$G$16*Models!$I$16+Models!$B$5*Models!$H$16)))</f>
        <v>69.572083377379414</v>
      </c>
      <c r="Q51" s="172">
        <f>Models!$B$53*EXP(-EXP(Models!$D$53*(ChartData!B51+Models!$C$53+Models!$B$5*Models!$E$53+Models!$B$4*Models!$F$53)))</f>
        <v>99.981312088867725</v>
      </c>
      <c r="R51" s="136">
        <f>Models!$B$17*Models!$I$17+(100-Models!$B$17*Models!$I$17)/(1+EXP(Models!$C$17*(ChartData!B51-Models!$E$17+Models!$B$4*Models!$F$17+Models!$B$4*Models!$G$17*Models!$I$17+Models!$B$5*Models!$H$17)))</f>
        <v>84.77649119586917</v>
      </c>
      <c r="S51" s="136">
        <f>Models!$B$54*EXP(-EXP(Models!$D$54*(ChartData!B51+Models!$C$54+Models!$B$5*Models!$E$54+Models!$B$4*Models!$F$54)))</f>
        <v>99.612700406672147</v>
      </c>
      <c r="T51" s="180">
        <f>Models!$B$18*Models!$I$18+(100-Models!$B$18*Models!$I$18)/(1+EXP(Models!$C$18*(ChartData!B51-Models!$E$18+Models!$B$4*Models!$F$18+Models!$B$4*Models!$G$18*Models!$I$18+Models!$B$5*Models!$H$18)))</f>
        <v>60.146375232917649</v>
      </c>
      <c r="U51" s="180">
        <f>Models!$B$55*EXP(-EXP(Models!$D$55*(ChartData!B51+Models!$C$55+Models!$B$5*Models!$E$55+Models!$B$4*Models!$F$55)))</f>
        <v>99.991604154099491</v>
      </c>
      <c r="V51" s="36">
        <f>Models!$B$19*Models!$I$19+(100-Models!$B$19*Models!$I$19)/(1+EXP(Models!$C$19*(ChartData!$B51-Models!$E$19+Models!$B$5*ChartData!$B51*Models!$F$19+Models!$B$4*Models!$G$19)))</f>
        <v>83.112680114884725</v>
      </c>
      <c r="W51" s="36">
        <f>Models!$B$56*EXP(-EXP(Models!$D$56*(ChartData!B51+Models!$C$56+Models!$B$5*Models!$E$56+Models!$B$4*Models!$F$56)))</f>
        <v>99.557188726569862</v>
      </c>
      <c r="X51" s="158">
        <f>Models!$B$20*Models!$I$20+(100-Models!$B$20*Models!$I$20)/(1+EXP(Models!$C$20*(ChartData!$B51-Models!$E$20+Models!$B$5*ChartData!$B51*Models!$F$20+Models!$B$4*Models!$G$20)))</f>
        <v>75.499938882556719</v>
      </c>
      <c r="Y51" s="158">
        <f>Models!$B$57*EXP(-EXP(Models!$D$57*(ChartData!B51+Models!$C$57+Models!$B$5*Models!$E$57+Models!$B$4*Models!$F$57)))</f>
        <v>99.951845847093409</v>
      </c>
      <c r="Z51" s="165">
        <f>Models!$B$21*Models!$I$21+(100-Models!$B$21*Models!$I$21)/(1+EXP(Models!$C$21*(ChartData!$B51-Models!$E$21+Models!$B$5*ChartData!$B51*Models!$F$21+Models!$B$4*Models!$G$21)))</f>
        <v>76.729156269278207</v>
      </c>
      <c r="AA51" s="165">
        <f>Models!$B$58*EXP(-EXP(Models!$D$58*(ChartData!B51+Models!$C$58+Models!$B$5*Models!$E$58+Models!$B$4*Models!$F$58)))</f>
        <v>99.966404664026484</v>
      </c>
      <c r="AB51" s="146">
        <f>200/(1+EXP(Models!$D$22*((Models!$E$22*Models!$B$4+Models!$B$5)*ChartData!B51)))</f>
        <v>89.224320318809902</v>
      </c>
      <c r="AC51" s="146">
        <f>100*EXP(-EXP(Models!$D$59*(ChartData!B51-Models!$C$59+Models!$E$59*Models!$B$4+Models!$F$59*Models!$B$5)))</f>
        <v>98.012259719225298</v>
      </c>
      <c r="AD51" s="149">
        <f>200/(1+EXP(Models!$D$23*((Models!$E$23*Models!$B$4+Models!$B$5)*ChartData!B51)))</f>
        <v>84.423011981759814</v>
      </c>
      <c r="AE51" s="149">
        <f>100*EXP(-EXP(Models!$D$60*(ChartData!B51-Models!$C$60+Models!$E$60*Models!$B$4+Models!$F$60*Models!$B$5)))</f>
        <v>99.534645066349242</v>
      </c>
      <c r="AF51" s="153">
        <f>200/(1+EXP(Models!$D$24*((Models!$E$24*Models!$B$4+Models!$B$5)*ChartData!B51)))</f>
        <v>82.90189006350468</v>
      </c>
      <c r="AG51" s="153">
        <f>100*EXP(-EXP(Models!$D$61*(ChartData!B51-Models!$C$61+Models!$E$61*Models!$B$4+Models!$F$61*Models!$B$5)))</f>
        <v>99.667212570909484</v>
      </c>
      <c r="AH51" s="266">
        <f>IF('Front Page'!$C$31&gt;0,1-'Front Page'!$C$31,"")</f>
        <v>0.995</v>
      </c>
      <c r="AI51" s="214">
        <f>Models!$B$25*Models!$I$25+(200-Models!$B$25*Models!$I$25)/(1+EXP(Models!$C$25*B51*(Models!$B$4*Models!$F$25+Models!$B$5+Models!$I$25*Models!$G$25)))</f>
        <v>85.377601764076573</v>
      </c>
      <c r="AJ51" s="214">
        <f>100*EXP(-EXP(Models!$D$62*(ChartData!B51-Models!$C$62+Models!$E$62*Models!$B$4+Models!$F$62*Models!$B$5)))</f>
        <v>99.557183856494021</v>
      </c>
      <c r="AK51" s="220">
        <f>Models!$B$26*Models!$I$26+(200-Models!$B$26*Models!$I$26)/(1+EXP(Models!$C$26*B51*(Models!$B$4*Models!$F$26+Models!$B$5+Models!$I$26*Models!$G$26)))</f>
        <v>79.436351267957718</v>
      </c>
      <c r="AL51" s="220">
        <f>100*EXP(-EXP(Models!$D$63*(ChartData!B51-Models!$C$63+Models!$E$63*Models!$B$4+Models!$F$63*Models!$B$5)))</f>
        <v>99.951838071637255</v>
      </c>
      <c r="AM51" s="226">
        <f>Models!$B$27*Models!$I$27+(200-Models!$B$27*Models!$I$27)/(1+EXP(Models!$C$27*B51*(Models!$B$4*Models!$F$27+Models!$B$5+Models!$I$27*Models!$G$27)))</f>
        <v>54.677731907605839</v>
      </c>
      <c r="AN51" s="226">
        <f>100*EXP(-EXP(Models!$D$64*(ChartData!B51-Models!$C$64+Models!$E$64*Models!$B$4+Models!$F$64*Models!$B$5)))</f>
        <v>99.966404103379219</v>
      </c>
      <c r="AO51" s="232">
        <f>Models!$B$28*Models!$I$28+(200-Models!$B$28*Models!$I$28)/(1+EXP(Models!$C$28*B51*(Models!$B$4*Models!$F$28+Models!$B$5+Models!$I$28*Models!$G$28)))</f>
        <v>83.18346751186489</v>
      </c>
      <c r="AP51" s="232">
        <f>100*EXP(-EXP(Models!$D$65*(ChartData!B51-Models!$C$65+Models!$E$65*Models!$B$4+Models!$F$65*Models!$B$5)))</f>
        <v>99.612773040480832</v>
      </c>
      <c r="AQ51" s="238">
        <f>Models!$B$29*Models!$I$29+(200-Models!$B$29*Models!$I$29)/(1+EXP(Models!$C$29*B51*(Models!$B$4*Models!$F$29+Models!$B$5+Models!$I$29*Models!$G$29)))</f>
        <v>75.581122949339502</v>
      </c>
      <c r="AR51" s="238">
        <f>100*EXP(-EXP(Models!$D$66*(ChartData!B51-Models!$C$66+Models!$E$66*Models!$B$4+Models!$F$66*Models!$B$5)))</f>
        <v>99.991602767808018</v>
      </c>
      <c r="AS51" s="244">
        <f>Models!$B$30*Models!$I$30+(200-Models!$B$30*Models!$I$30)/(1+EXP(Models!$C$30*B51*(Models!$B$4*Models!$F$30+Models!$B$5+Models!$I$30*Models!$G$30)))</f>
        <v>74.816851443915425</v>
      </c>
      <c r="AT51" s="244">
        <f>100*EXP(-EXP(Models!$D$67*(ChartData!B51-Models!$C$67+Models!$E$67*Models!$B$4+Models!$F$67*Models!$B$5)))</f>
        <v>99.944395996504142</v>
      </c>
    </row>
    <row r="52" spans="1:46" x14ac:dyDescent="0.2">
      <c r="A52" s="138" t="s">
        <v>305</v>
      </c>
      <c r="B52">
        <v>1600</v>
      </c>
      <c r="C52">
        <f>1-'Front Page'!$C$30</f>
        <v>0.99630303030303036</v>
      </c>
      <c r="D52" s="45">
        <f t="shared" si="0"/>
        <v>74.826610970503367</v>
      </c>
      <c r="E52" s="45">
        <f t="shared" si="1"/>
        <v>99.993808526026612</v>
      </c>
      <c r="F52" s="36">
        <f>Equations!$E$4/(1+EXP(Equations!$F$4*ChartData!B52*(Equations!$G$4*Equations!$C$4+Equations!$D$4)))</f>
        <v>84.83649402948366</v>
      </c>
      <c r="G52" s="36">
        <f>Equations!$E$7*EXP(-EXP(-Equations!$F$7*(ChartData!B52-Equations!$G$7+Equations!$H$7*Equations!$C$7+Equations!$I$7*Equations!$D$7)))</f>
        <v>99.848200301927619</v>
      </c>
      <c r="H52" s="55">
        <f>Models!$B$13+Models!$C$13*EXP(Models!$D$13*ChartData!B52+(Models!$E$13*ChartData!B52*Models!$E$3))</f>
        <v>63.479894486560134</v>
      </c>
      <c r="I52" s="55">
        <f>Models!$B$50*EXP(-EXP(Models!$D$50*(ChartData!B52+Models!$C$50-(Models!$E$50*Models!$B$5))))</f>
        <v>98.716311408481999</v>
      </c>
      <c r="J52" s="57">
        <f>Models!$B$12/(1+EXP(Models!$D$12*(ChartData!B52-Models!$C$12+Models!$E$12*ChartData!B52*Models!$B$5)))</f>
        <v>7.353101665306368E-18</v>
      </c>
      <c r="K52" s="61">
        <f>Models!$B$49*EXP(-EXP(Models!$D$49*(ChartData!B52-Models!$C$49+(Models!$E$49*ChartData!B52*Models!$B$5))))</f>
        <v>99.993578489588884</v>
      </c>
      <c r="L52" s="62">
        <f>Models!$B$15/(1+EXP(Models!$D$15*(ChartData!B52*(1+Models!$D$15*Models!$B$5)-Models!$C$15)))</f>
        <v>5.0795677403058876</v>
      </c>
      <c r="M52" s="63">
        <f>Models!$B$52*EXP(-EXP(Models!$D$52*(ChartData!B52*(1+Models!$D$52*Models!$B$5)-Models!$C$52)))</f>
        <v>99.997766018405414</v>
      </c>
      <c r="N52" s="53">
        <f>Models!$B$15/(1+EXP(Models!$D$15*(ChartData!B52-Models!$D$15+Models!$E$15*ChartData!B52*Models!$B$5)))</f>
        <v>3.1981825227603293</v>
      </c>
      <c r="O52" s="53">
        <f>Models!$B$52*EXP(-EXP(Models!$D$52*(ChartData!B52-Models!$C$52+Models!$E$52*ChartData!B52*Models!$B$5)))</f>
        <v>99.999377434805155</v>
      </c>
      <c r="P52" s="172">
        <f>Models!$B$16*Models!$I$16+(100-Models!$B$16*Models!$I$16)/(1+EXP(Models!$C$16*(ChartData!B52-Models!$E$16+Models!$B$4*Models!$F$16+Models!$B$4*Models!$G$16*Models!$I$16+Models!$B$5*Models!$H$16)))</f>
        <v>67.094293189296707</v>
      </c>
      <c r="Q52" s="172">
        <f>Models!$B$53*EXP(-EXP(Models!$D$53*(ChartData!B52+Models!$C$53+Models!$B$5*Models!$E$53+Models!$B$4*Models!$F$53)))</f>
        <v>99.985881447661384</v>
      </c>
      <c r="R52" s="136">
        <f>Models!$B$17*Models!$I$17+(100-Models!$B$17*Models!$I$17)/(1+EXP(Models!$C$17*(ChartData!B52-Models!$E$17+Models!$B$4*Models!$F$17+Models!$B$4*Models!$G$17*Models!$I$17+Models!$B$5*Models!$H$17)))</f>
        <v>83.566934301650946</v>
      </c>
      <c r="S52" s="136">
        <f>Models!$B$54*EXP(-EXP(Models!$D$54*(ChartData!B52+Models!$C$54+Models!$B$5*Models!$E$54+Models!$B$4*Models!$F$54)))</f>
        <v>99.678660141559774</v>
      </c>
      <c r="T52" s="180">
        <f>Models!$B$18*Models!$I$18+(100-Models!$B$18*Models!$I$18)/(1+EXP(Models!$C$18*(ChartData!B52-Models!$E$18+Models!$B$4*Models!$F$18+Models!$B$4*Models!$G$18*Models!$I$18+Models!$B$5*Models!$H$18)))</f>
        <v>57.069553958682832</v>
      </c>
      <c r="U52" s="180">
        <f>Models!$B$55*EXP(-EXP(Models!$D$55*(ChartData!B52+Models!$C$55+Models!$B$5*Models!$E$55+Models!$B$4*Models!$F$55)))</f>
        <v>99.993809579133966</v>
      </c>
      <c r="V52" s="36">
        <f>Models!$B$19*Models!$I$19+(100-Models!$B$19*Models!$I$19)/(1+EXP(Models!$C$19*(ChartData!$B52-Models!$E$19+Models!$B$5*ChartData!$B52*Models!$F$19+Models!$B$4*Models!$G$19)))</f>
        <v>82.670882361839034</v>
      </c>
      <c r="W52" s="36">
        <f>Models!$B$56*EXP(-EXP(Models!$D$56*(ChartData!B52+Models!$C$56+Models!$B$5*Models!$E$56+Models!$B$4*Models!$F$56)))</f>
        <v>99.614228645599624</v>
      </c>
      <c r="X52" s="158">
        <f>Models!$B$20*Models!$I$20+(100-Models!$B$20*Models!$I$20)/(1+EXP(Models!$C$20*(ChartData!$B52-Models!$E$20+Models!$B$5*ChartData!$B52*Models!$F$20+Models!$B$4*Models!$G$20)))</f>
        <v>74.640296030727797</v>
      </c>
      <c r="Y52" s="158">
        <f>Models!$B$57*EXP(-EXP(Models!$D$57*(ChartData!B52+Models!$C$57+Models!$B$5*Models!$E$57+Models!$B$4*Models!$F$57)))</f>
        <v>99.960928128395381</v>
      </c>
      <c r="Z52" s="165">
        <f>Models!$B$21*Models!$I$21+(100-Models!$B$21*Models!$I$21)/(1+EXP(Models!$C$21*(ChartData!$B52-Models!$E$21+Models!$B$5*ChartData!$B52*Models!$F$21+Models!$B$4*Models!$G$21)))</f>
        <v>75.858946422292689</v>
      </c>
      <c r="AA52" s="165">
        <f>Models!$B$58*EXP(-EXP(Models!$D$58*(ChartData!B52+Models!$C$58+Models!$B$5*Models!$E$58+Models!$B$4*Models!$F$58)))</f>
        <v>99.973055599285061</v>
      </c>
      <c r="AB52" s="146">
        <f>200/(1+EXP(Models!$D$22*((Models!$E$22*Models!$B$4+Models!$B$5)*ChartData!B52)))</f>
        <v>88.879545869798335</v>
      </c>
      <c r="AC52" s="146">
        <f>100*EXP(-EXP(Models!$D$59*(ChartData!B52-Models!$C$59+Models!$E$59*Models!$B$4+Models!$F$59*Models!$B$5)))</f>
        <v>98.193888475380362</v>
      </c>
      <c r="AD52" s="149">
        <f>200/(1+EXP(Models!$D$23*((Models!$E$23*Models!$B$4+Models!$B$5)*ChartData!B52)))</f>
        <v>83.9290906166013</v>
      </c>
      <c r="AE52" s="149">
        <f>100*EXP(-EXP(Models!$D$60*(ChartData!B52-Models!$C$60+Models!$E$60*Models!$B$4+Models!$F$60*Models!$B$5)))</f>
        <v>99.596715651233694</v>
      </c>
      <c r="AF52" s="153">
        <f>200/(1+EXP(Models!$D$24*((Models!$E$24*Models!$B$4+Models!$B$5)*ChartData!B52)))</f>
        <v>82.361671452647926</v>
      </c>
      <c r="AG52" s="153">
        <f>100*EXP(-EXP(Models!$D$61*(ChartData!B52-Models!$C$61+Models!$E$61*Models!$B$4+Models!$F$61*Models!$B$5)))</f>
        <v>99.714709763904111</v>
      </c>
      <c r="AH52" s="266">
        <f>IF('Front Page'!$C$31&gt;0,1-'Front Page'!$C$31,"")</f>
        <v>0.995</v>
      </c>
      <c r="AI52" s="214">
        <f>Models!$B$25*Models!$I$25+(200-Models!$B$25*Models!$I$25)/(1+EXP(Models!$C$25*B52*(Models!$B$4*Models!$F$25+Models!$B$5+Models!$I$25*Models!$G$25)))</f>
        <v>84.912990395774685</v>
      </c>
      <c r="AJ52" s="214">
        <f>100*EXP(-EXP(Models!$D$62*(ChartData!B52-Models!$C$62+Models!$E$62*Models!$B$4+Models!$F$62*Models!$B$5)))</f>
        <v>99.614224401637543</v>
      </c>
      <c r="AK52" s="220">
        <f>Models!$B$26*Models!$I$26+(200-Models!$B$26*Models!$I$26)/(1+EXP(Models!$C$26*B52*(Models!$B$4*Models!$F$26+Models!$B$5+Models!$I$26*Models!$G$26)))</f>
        <v>78.792769413689442</v>
      </c>
      <c r="AL52" s="220">
        <f>100*EXP(-EXP(Models!$D$63*(ChartData!B52-Models!$C$63+Models!$E$63*Models!$B$4+Models!$F$63*Models!$B$5)))</f>
        <v>99.960921623816233</v>
      </c>
      <c r="AM52" s="226">
        <f>Models!$B$27*Models!$I$27+(200-Models!$B$27*Models!$I$27)/(1+EXP(Models!$C$27*B52*(Models!$B$4*Models!$F$27+Models!$B$5+Models!$I$27*Models!$G$27)))</f>
        <v>53.388842453780462</v>
      </c>
      <c r="AN52" s="226">
        <f>100*EXP(-EXP(Models!$D$64*(ChartData!B52-Models!$C$64+Models!$E$64*Models!$B$4+Models!$F$64*Models!$B$5)))</f>
        <v>99.973055149615291</v>
      </c>
      <c r="AO52" s="232">
        <f>Models!$B$28*Models!$I$28+(200-Models!$B$28*Models!$I$28)/(1+EXP(Models!$C$28*B52*(Models!$B$4*Models!$F$28+Models!$B$5+Models!$I$28*Models!$G$28)))</f>
        <v>82.65177946672695</v>
      </c>
      <c r="AP52" s="232">
        <f>100*EXP(-EXP(Models!$D$65*(ChartData!B52-Models!$C$65+Models!$E$65*Models!$B$4+Models!$F$65*Models!$B$5)))</f>
        <v>99.678720425297513</v>
      </c>
      <c r="AQ52" s="238">
        <f>Models!$B$29*Models!$I$29+(200-Models!$B$29*Models!$I$29)/(1+EXP(Models!$C$29*B52*(Models!$B$4*Models!$F$29+Models!$B$5+Models!$I$29*Models!$G$29)))</f>
        <v>74.826610970503367</v>
      </c>
      <c r="AR52" s="238">
        <f>100*EXP(-EXP(Models!$D$66*(ChartData!B52-Models!$C$66+Models!$E$66*Models!$B$4+Models!$F$66*Models!$B$5)))</f>
        <v>99.993808526026612</v>
      </c>
      <c r="AS52" s="244">
        <f>Models!$B$30*Models!$I$30+(200-Models!$B$30*Models!$I$30)/(1+EXP(Models!$C$30*B52*(Models!$B$4*Models!$F$30+Models!$B$5+Models!$I$30*Models!$G$30)))</f>
        <v>73.917607339250722</v>
      </c>
      <c r="AT52" s="244">
        <f>100*EXP(-EXP(Models!$D$67*(ChartData!B52-Models!$C$67+Models!$E$67*Models!$B$4+Models!$F$67*Models!$B$5)))</f>
        <v>99.956571274262743</v>
      </c>
    </row>
    <row r="53" spans="1:46" x14ac:dyDescent="0.2">
      <c r="A53" s="138" t="s">
        <v>306</v>
      </c>
      <c r="B53">
        <v>1650</v>
      </c>
      <c r="C53">
        <f>1-'Front Page'!$C$30</f>
        <v>0.99630303030303036</v>
      </c>
      <c r="D53" s="45">
        <f t="shared" si="0"/>
        <v>74.075146732636867</v>
      </c>
      <c r="E53" s="45">
        <f t="shared" si="1"/>
        <v>99.995434895924902</v>
      </c>
      <c r="F53" s="36">
        <f>Equations!$E$4/(1+EXP(Equations!$F$4*ChartData!B53*(Equations!$G$4*Equations!$C$4+Equations!$D$4)))</f>
        <v>84.370273044851629</v>
      </c>
      <c r="G53" s="36">
        <f>Equations!$E$7*EXP(-EXP(-Equations!$F$7*(ChartData!B53-Equations!$G$7+Equations!$H$7*Equations!$C$7+Equations!$I$7*Equations!$D$7)))</f>
        <v>99.871631610986825</v>
      </c>
      <c r="H53" s="55">
        <f>Models!$B$13+Models!$C$13*EXP(Models!$D$13*ChartData!B53+(Models!$E$13*ChartData!B53*Models!$E$3))</f>
        <v>62.65399667144311</v>
      </c>
      <c r="I53" s="55">
        <f>Models!$B$50*EXP(-EXP(Models!$D$50*(ChartData!B53+Models!$C$50-(Models!$E$50*Models!$B$5))))</f>
        <v>98.853252856189371</v>
      </c>
      <c r="J53" s="57">
        <f>Models!$B$12/(1+EXP(Models!$D$12*(ChartData!B53-Models!$C$12+Models!$E$12*ChartData!B53*Models!$B$5)))</f>
        <v>1.1811897810128063E-18</v>
      </c>
      <c r="K53" s="61">
        <f>Models!$B$49*EXP(-EXP(Models!$D$49*(ChartData!B53-Models!$C$49+(Models!$E$49*ChartData!B53*Models!$B$5))))</f>
        <v>99.995477599881681</v>
      </c>
      <c r="L53" s="62">
        <f>Models!$B$15/(1+EXP(Models!$D$15*(ChartData!B53*(1+Models!$D$15*Models!$B$5)-Models!$C$15)))</f>
        <v>4.5404725650662074</v>
      </c>
      <c r="M53" s="63">
        <f>Models!$B$52*EXP(-EXP(Models!$D$52*(ChartData!B53*(1+Models!$D$52*Models!$B$5)-Models!$C$52)))</f>
        <v>99.998477000857477</v>
      </c>
      <c r="N53" s="53">
        <f>Models!$B$15/(1+EXP(Models!$D$15*(ChartData!B53-Models!$D$15+Models!$E$15*ChartData!B53*Models!$B$5)))</f>
        <v>2.8172974503508676</v>
      </c>
      <c r="O53" s="53">
        <f>Models!$B$52*EXP(-EXP(Models!$D$52*(ChartData!B53-Models!$C$52+Models!$E$52*ChartData!B53*Models!$B$5)))</f>
        <v>99.999592184941974</v>
      </c>
      <c r="P53" s="172">
        <f>Models!$B$16*Models!$I$16+(100-Models!$B$16*Models!$I$16)/(1+EXP(Models!$C$16*(ChartData!B53-Models!$E$16+Models!$B$4*Models!$F$16+Models!$B$4*Models!$G$16*Models!$I$16+Models!$B$5*Models!$H$16)))</f>
        <v>64.517637385548298</v>
      </c>
      <c r="Q53" s="172">
        <f>Models!$B$53*EXP(-EXP(Models!$D$53*(ChartData!B53+Models!$C$53+Models!$B$5*Models!$E$53+Models!$B$4*Models!$F$53)))</f>
        <v>99.989333617599243</v>
      </c>
      <c r="R53" s="136">
        <f>Models!$B$17*Models!$I$17+(100-Models!$B$17*Models!$I$17)/(1+EXP(Models!$C$17*(ChartData!B53-Models!$E$17+Models!$B$4*Models!$F$17+Models!$B$4*Models!$G$17*Models!$I$17+Models!$B$5*Models!$H$17)))</f>
        <v>82.281360178187754</v>
      </c>
      <c r="S53" s="136">
        <f>Models!$B$54*EXP(-EXP(Models!$D$54*(ChartData!B53+Models!$C$54+Models!$B$5*Models!$E$54+Models!$B$4*Models!$F$54)))</f>
        <v>99.733401524001536</v>
      </c>
      <c r="T53" s="180">
        <f>Models!$B$18*Models!$I$18+(100-Models!$B$18*Models!$I$18)/(1+EXP(Models!$C$18*(ChartData!B53-Models!$E$18+Models!$B$4*Models!$F$18+Models!$B$4*Models!$G$18*Models!$I$18+Models!$B$5*Models!$H$18)))</f>
        <v>53.965647187216717</v>
      </c>
      <c r="U53" s="180">
        <f>Models!$B$55*EXP(-EXP(Models!$D$55*(ChartData!B53+Models!$C$55+Models!$B$5*Models!$E$55+Models!$B$4*Models!$F$55)))</f>
        <v>99.995435695230498</v>
      </c>
      <c r="V53" s="36">
        <f>Models!$B$19*Models!$I$19+(100-Models!$B$19*Models!$I$19)/(1+EXP(Models!$C$19*(ChartData!$B53-Models!$E$19+Models!$B$5*ChartData!$B53*Models!$F$19+Models!$B$4*Models!$G$19)))</f>
        <v>82.219999095737762</v>
      </c>
      <c r="W53" s="36">
        <f>Models!$B$56*EXP(-EXP(Models!$D$56*(ChartData!B53+Models!$C$56+Models!$B$5*Models!$E$56+Models!$B$4*Models!$F$56)))</f>
        <v>99.663933478196924</v>
      </c>
      <c r="X53" s="158">
        <f>Models!$B$20*Models!$I$20+(100-Models!$B$20*Models!$I$20)/(1+EXP(Models!$C$20*(ChartData!$B53-Models!$E$20+Models!$B$5*ChartData!$B53*Models!$F$20+Models!$B$4*Models!$G$20)))</f>
        <v>73.760973192529264</v>
      </c>
      <c r="Y53" s="158">
        <f>Models!$B$57*EXP(-EXP(Models!$D$57*(ChartData!B53+Models!$C$57+Models!$B$5*Models!$E$57+Models!$B$4*Models!$F$57)))</f>
        <v>99.968297686146016</v>
      </c>
      <c r="Z53" s="165">
        <f>Models!$B$21*Models!$I$21+(100-Models!$B$21*Models!$I$21)/(1+EXP(Models!$C$21*(ChartData!$B53-Models!$E$21+Models!$B$5*ChartData!$B53*Models!$F$21+Models!$B$4*Models!$G$21)))</f>
        <v>74.968972933624457</v>
      </c>
      <c r="AA53" s="165">
        <f>Models!$B$58*EXP(-EXP(Models!$D$58*(ChartData!B53+Models!$C$58+Models!$B$5*Models!$E$58+Models!$B$4*Models!$F$58)))</f>
        <v>99.978389978025618</v>
      </c>
      <c r="AB53" s="146">
        <f>200/(1+EXP(Models!$D$22*((Models!$E$22*Models!$B$4+Models!$B$5)*ChartData!B53)))</f>
        <v>88.535038899835556</v>
      </c>
      <c r="AC53" s="146">
        <f>100*EXP(-EXP(Models!$D$59*(ChartData!B53-Models!$C$59+Models!$E$59*Models!$B$4+Models!$F$59*Models!$B$5)))</f>
        <v>98.359060222433996</v>
      </c>
      <c r="AD53" s="149">
        <f>200/(1+EXP(Models!$D$23*((Models!$E$23*Models!$B$4+Models!$B$5)*ChartData!B53)))</f>
        <v>83.435972857126458</v>
      </c>
      <c r="AE53" s="149">
        <f>100*EXP(-EXP(Models!$D$60*(ChartData!B53-Models!$C$60+Models!$E$60*Models!$B$4+Models!$F$60*Models!$B$5)))</f>
        <v>99.650521595656429</v>
      </c>
      <c r="AF53" s="153">
        <f>200/(1+EXP(Models!$D$24*((Models!$E$24*Models!$B$4+Models!$B$5)*ChartData!B53)))</f>
        <v>81.822513313615232</v>
      </c>
      <c r="AG53" s="153">
        <f>100*EXP(-EXP(Models!$D$61*(ChartData!B53-Models!$C$61+Models!$E$61*Models!$B$4+Models!$F$61*Models!$B$5)))</f>
        <v>99.7554362240367</v>
      </c>
      <c r="AH53" s="266">
        <f>IF('Front Page'!$C$31&gt;0,1-'Front Page'!$C$31,"")</f>
        <v>0.995</v>
      </c>
      <c r="AI53" s="214">
        <f>Models!$B$25*Models!$I$25+(200-Models!$B$25*Models!$I$25)/(1+EXP(Models!$C$25*B53*(Models!$B$4*Models!$F$25+Models!$B$5+Models!$I$25*Models!$G$25)))</f>
        <v>84.449044591444547</v>
      </c>
      <c r="AJ53" s="214">
        <f>100*EXP(-EXP(Models!$D$62*(ChartData!B53-Models!$C$62+Models!$E$62*Models!$B$4+Models!$F$62*Models!$B$5)))</f>
        <v>99.663929780126637</v>
      </c>
      <c r="AK53" s="220">
        <f>Models!$B$26*Models!$I$26+(200-Models!$B$26*Models!$I$26)/(1+EXP(Models!$C$26*B53*(Models!$B$4*Models!$F$26+Models!$B$5+Models!$I$26*Models!$G$26)))</f>
        <v>78.151021845553885</v>
      </c>
      <c r="AL53" s="220">
        <f>100*EXP(-EXP(Models!$D$63*(ChartData!B53-Models!$C$63+Models!$E$63*Models!$B$4+Models!$F$63*Models!$B$5)))</f>
        <v>99.968292249723049</v>
      </c>
      <c r="AM53" s="226">
        <f>Models!$B$27*Models!$I$27+(200-Models!$B$27*Models!$I$27)/(1+EXP(Models!$C$27*B53*(Models!$B$4*Models!$F$27+Models!$B$5+Models!$I$27*Models!$G$27)))</f>
        <v>52.131749029415275</v>
      </c>
      <c r="AN53" s="226">
        <f>100*EXP(-EXP(Models!$D$64*(ChartData!B53-Models!$C$64+Models!$E$64*Models!$B$4+Models!$F$64*Models!$B$5)))</f>
        <v>99.97838961737061</v>
      </c>
      <c r="AO53" s="232">
        <f>Models!$B$28*Models!$I$28+(200-Models!$B$28*Models!$I$28)/(1+EXP(Models!$C$28*B53*(Models!$B$4*Models!$F$28+Models!$B$5+Models!$I$28*Models!$G$28)))</f>
        <v>82.121100778488042</v>
      </c>
      <c r="AP53" s="232">
        <f>100*EXP(-EXP(Models!$D$65*(ChartData!B53-Models!$C$65+Models!$E$65*Models!$B$4+Models!$F$65*Models!$B$5)))</f>
        <v>99.733451551926805</v>
      </c>
      <c r="AQ53" s="238">
        <f>Models!$B$29*Models!$I$29+(200-Models!$B$29*Models!$I$29)/(1+EXP(Models!$C$29*B53*(Models!$B$4*Models!$F$29+Models!$B$5+Models!$I$29*Models!$G$29)))</f>
        <v>74.075146732636867</v>
      </c>
      <c r="AR53" s="238">
        <f>100*EXP(-EXP(Models!$D$66*(ChartData!B53-Models!$C$66+Models!$E$66*Models!$B$4+Models!$F$66*Models!$B$5)))</f>
        <v>99.995434895924902</v>
      </c>
      <c r="AS53" s="244">
        <f>Models!$B$30*Models!$I$30+(200-Models!$B$30*Models!$I$30)/(1+EXP(Models!$C$30*B53*(Models!$B$4*Models!$F$30+Models!$B$5+Models!$I$30*Models!$G$30)))</f>
        <v>73.024485885061395</v>
      </c>
      <c r="AT53" s="244">
        <f>100*EXP(-EXP(Models!$D$67*(ChartData!B53-Models!$C$67+Models!$E$67*Models!$B$4+Models!$F$67*Models!$B$5)))</f>
        <v>99.966081056292339</v>
      </c>
    </row>
    <row r="54" spans="1:46" x14ac:dyDescent="0.2">
      <c r="A54" s="138" t="s">
        <v>307</v>
      </c>
      <c r="B54">
        <v>1700</v>
      </c>
      <c r="C54">
        <f>1-'Front Page'!$C$30</f>
        <v>0.99630303030303036</v>
      </c>
      <c r="D54" s="45">
        <f t="shared" si="0"/>
        <v>73.32680834861516</v>
      </c>
      <c r="E54" s="45">
        <f t="shared" si="1"/>
        <v>99.996634059872108</v>
      </c>
      <c r="F54" s="36">
        <f>Equations!$E$4/(1+EXP(Equations!$F$4*ChartData!B54*(Equations!$G$4*Equations!$C$4+Equations!$D$4)))</f>
        <v>83.90474749718102</v>
      </c>
      <c r="G54" s="36">
        <f>Equations!$E$7*EXP(-EXP(-Equations!$F$7*(ChartData!B54-Equations!$G$7+Equations!$H$7*Equations!$C$7+Equations!$I$7*Equations!$D$7)))</f>
        <v>99.891448105403541</v>
      </c>
      <c r="H54" s="55">
        <f>Models!$B$13+Models!$C$13*EXP(Models!$D$13*ChartData!B54+(Models!$E$13*ChartData!B54*Models!$E$3))</f>
        <v>61.843399637291853</v>
      </c>
      <c r="I54" s="55">
        <f>Models!$B$50*EXP(-EXP(Models!$D$50*(ChartData!B54+Models!$C$50-(Models!$E$50*Models!$B$5))))</f>
        <v>98.975661540769821</v>
      </c>
      <c r="J54" s="57">
        <f>Models!$B$12/(1+EXP(Models!$D$12*(ChartData!B54-Models!$C$12+Models!$E$12*ChartData!B54*Models!$B$5)))</f>
        <v>1.8974432318160253E-19</v>
      </c>
      <c r="K54" s="61">
        <f>Models!$B$49*EXP(-EXP(Models!$D$49*(ChartData!B54-Models!$C$49+(Models!$E$49*ChartData!B54*Models!$B$5))))</f>
        <v>99.996815072454439</v>
      </c>
      <c r="L54" s="62">
        <f>Models!$B$15/(1+EXP(Models!$D$15*(ChartData!B54*(1+Models!$D$15*Models!$B$5)-Models!$C$15)))</f>
        <v>4.0574006767449555</v>
      </c>
      <c r="M54" s="63">
        <f>Models!$B$52*EXP(-EXP(Models!$D$52*(ChartData!B54*(1+Models!$D$52*Models!$B$5)-Models!$C$52)))</f>
        <v>99.998961708650853</v>
      </c>
      <c r="N54" s="53">
        <f>Models!$B$15/(1+EXP(Models!$D$15*(ChartData!B54-Models!$D$15+Models!$E$15*ChartData!B54*Models!$B$5)))</f>
        <v>2.4812016941226793</v>
      </c>
      <c r="O54" s="53">
        <f>Models!$B$52*EXP(-EXP(Models!$D$52*(ChartData!B54-Models!$C$52+Models!$E$52*ChartData!B54*Models!$B$5)))</f>
        <v>99.999732858403704</v>
      </c>
      <c r="P54" s="172">
        <f>Models!$B$16*Models!$I$16+(100-Models!$B$16*Models!$I$16)/(1+EXP(Models!$C$16*(ChartData!B54-Models!$E$16+Models!$B$4*Models!$F$16+Models!$B$4*Models!$G$16*Models!$I$16+Models!$B$5*Models!$H$16)))</f>
        <v>61.853929749019301</v>
      </c>
      <c r="Q54" s="172">
        <f>Models!$B$53*EXP(-EXP(Models!$D$53*(ChartData!B54+Models!$C$53+Models!$B$5*Models!$E$53+Models!$B$4*Models!$F$53)))</f>
        <v>99.991941721038387</v>
      </c>
      <c r="R54" s="136">
        <f>Models!$B$17*Models!$I$17+(100-Models!$B$17*Models!$I$17)/(1+EXP(Models!$C$17*(ChartData!B54-Models!$E$17+Models!$B$4*Models!$F$17+Models!$B$4*Models!$G$17*Models!$I$17+Models!$B$5*Models!$H$17)))</f>
        <v>80.918179098490029</v>
      </c>
      <c r="S54" s="136">
        <f>Models!$B$54*EXP(-EXP(Models!$D$54*(ChartData!B54+Models!$C$54+Models!$B$5*Models!$E$54+Models!$B$4*Models!$F$54)))</f>
        <v>99.778827865907516</v>
      </c>
      <c r="T54" s="180">
        <f>Models!$B$18*Models!$I$18+(100-Models!$B$18*Models!$I$18)/(1+EXP(Models!$C$18*(ChartData!B54-Models!$E$18+Models!$B$4*Models!$F$18+Models!$B$4*Models!$G$18*Models!$I$18+Models!$B$5*Models!$H$18)))</f>
        <v>50.862910808068634</v>
      </c>
      <c r="U54" s="180">
        <f>Models!$B$55*EXP(-EXP(Models!$D$55*(ChartData!B54+Models!$C$55+Models!$B$5*Models!$E$55+Models!$B$4*Models!$F$55)))</f>
        <v>99.996634666045651</v>
      </c>
      <c r="V54" s="36">
        <f>Models!$B$19*Models!$I$19+(100-Models!$B$19*Models!$I$19)/(1+EXP(Models!$C$19*(ChartData!$B54-Models!$E$19+Models!$B$5*ChartData!$B54*Models!$F$19+Models!$B$4*Models!$G$19)))</f>
        <v>81.759972737273088</v>
      </c>
      <c r="W54" s="36">
        <f>Models!$B$56*EXP(-EXP(Models!$D$56*(ChartData!B54+Models!$C$56+Models!$B$5*Models!$E$56+Models!$B$4*Models!$F$56)))</f>
        <v>99.707243489607265</v>
      </c>
      <c r="X54" s="158">
        <f>Models!$B$20*Models!$I$20+(100-Models!$B$20*Models!$I$20)/(1+EXP(Models!$C$20*(ChartData!$B54-Models!$E$20+Models!$B$5*ChartData!$B54*Models!$F$20+Models!$B$4*Models!$G$20)))</f>
        <v>72.862246141679861</v>
      </c>
      <c r="Y54" s="158">
        <f>Models!$B$57*EXP(-EXP(Models!$D$57*(ChartData!B54+Models!$C$57+Models!$B$5*Models!$E$57+Models!$B$4*Models!$F$57)))</f>
        <v>99.974277410460644</v>
      </c>
      <c r="Z54" s="165">
        <f>Models!$B$21*Models!$I$21+(100-Models!$B$21*Models!$I$21)/(1+EXP(Models!$C$21*(ChartData!$B54-Models!$E$21+Models!$B$5*ChartData!$B54*Models!$F$21+Models!$B$4*Models!$G$21)))</f>
        <v>74.059725782784071</v>
      </c>
      <c r="AA54" s="165">
        <f>Models!$B$58*EXP(-EXP(Models!$D$58*(ChartData!B54+Models!$C$58+Models!$B$5*Models!$E$58+Models!$B$4*Models!$F$58)))</f>
        <v>99.982668362600762</v>
      </c>
      <c r="AB54" s="146">
        <f>200/(1+EXP(Models!$D$22*((Models!$E$22*Models!$B$4+Models!$B$5)*ChartData!B54)))</f>
        <v>88.190807478056954</v>
      </c>
      <c r="AC54" s="146">
        <f>100*EXP(-EXP(Models!$D$59*(ChartData!B54-Models!$C$59+Models!$E$59*Models!$B$4+Models!$F$59*Models!$B$5)))</f>
        <v>98.509241637615517</v>
      </c>
      <c r="AD54" s="149">
        <f>200/(1+EXP(Models!$D$23*((Models!$E$23*Models!$B$4+Models!$B$5)*ChartData!B54)))</f>
        <v>82.943681992853328</v>
      </c>
      <c r="AE54" s="149">
        <f>100*EXP(-EXP(Models!$D$60*(ChartData!B54-Models!$C$60+Models!$E$60*Models!$B$4+Models!$F$60*Models!$B$5)))</f>
        <v>99.697159702430369</v>
      </c>
      <c r="AF54" s="153">
        <f>200/(1+EXP(Models!$D$24*((Models!$E$24*Models!$B$4+Models!$B$5)*ChartData!B54)))</f>
        <v>81.284445884182205</v>
      </c>
      <c r="AG54" s="153">
        <f>100*EXP(-EXP(Models!$D$61*(ChartData!B54-Models!$C$61+Models!$E$61*Models!$B$4+Models!$F$61*Models!$B$5)))</f>
        <v>99.790354912416177</v>
      </c>
      <c r="AH54" s="266">
        <f>IF('Front Page'!$C$31&gt;0,1-'Front Page'!$C$31,"")</f>
        <v>0.995</v>
      </c>
      <c r="AI54" s="214">
        <f>Models!$B$25*Models!$I$25+(200-Models!$B$25*Models!$I$25)/(1+EXP(Models!$C$25*B54*(Models!$B$4*Models!$F$25+Models!$B$5+Models!$I$25*Models!$G$25)))</f>
        <v>83.985783820232157</v>
      </c>
      <c r="AJ54" s="214">
        <f>100*EXP(-EXP(Models!$D$62*(ChartData!B54-Models!$C$62+Models!$E$62*Models!$B$4+Models!$F$62*Models!$B$5)))</f>
        <v>99.707240267419351</v>
      </c>
      <c r="AK54" s="220">
        <f>Models!$B$26*Models!$I$26+(200-Models!$B$26*Models!$I$26)/(1+EXP(Models!$C$26*B54*(Models!$B$4*Models!$F$26+Models!$B$5+Models!$I$26*Models!$G$26)))</f>
        <v>77.51115860310243</v>
      </c>
      <c r="AL54" s="220">
        <f>100*EXP(-EXP(Models!$D$63*(ChartData!B54-Models!$C$63+Models!$E$63*Models!$B$4+Models!$F$63*Models!$B$5)))</f>
        <v>99.974272870710848</v>
      </c>
      <c r="AM54" s="226">
        <f>Models!$B$27*Models!$I$27+(200-Models!$B$27*Models!$I$27)/(1+EXP(Models!$C$27*B54*(Models!$B$4*Models!$F$27+Models!$B$5+Models!$I$27*Models!$G$27)))</f>
        <v>50.906374856344328</v>
      </c>
      <c r="AN54" s="226">
        <f>100*EXP(-EXP(Models!$D$64*(ChartData!B54-Models!$C$64+Models!$E$64*Models!$B$4+Models!$F$64*Models!$B$5)))</f>
        <v>99.982668073342595</v>
      </c>
      <c r="AO54" s="232">
        <f>Models!$B$28*Models!$I$28+(200-Models!$B$28*Models!$I$28)/(1+EXP(Models!$C$28*B54*(Models!$B$4*Models!$F$28+Models!$B$5+Models!$I$28*Models!$G$28)))</f>
        <v>81.591460318254519</v>
      </c>
      <c r="AP54" s="232">
        <f>100*EXP(-EXP(Models!$D$65*(ChartData!B54-Models!$C$65+Models!$E$65*Models!$B$4+Models!$F$65*Models!$B$5)))</f>
        <v>99.778869378909789</v>
      </c>
      <c r="AQ54" s="238">
        <f>Models!$B$29*Models!$I$29+(200-Models!$B$29*Models!$I$29)/(1+EXP(Models!$C$29*B54*(Models!$B$4*Models!$F$29+Models!$B$5+Models!$I$29*Models!$G$29)))</f>
        <v>73.32680834861516</v>
      </c>
      <c r="AR54" s="238">
        <f>100*EXP(-EXP(Models!$D$66*(ChartData!B54-Models!$C$66+Models!$E$66*Models!$B$4+Models!$F$66*Models!$B$5)))</f>
        <v>99.996634059872108</v>
      </c>
      <c r="AS54" s="244">
        <f>Models!$B$30*Models!$I$30+(200-Models!$B$30*Models!$I$30)/(1+EXP(Models!$C$30*B54*(Models!$B$4*Models!$F$30+Models!$B$5+Models!$I$30*Models!$G$30)))</f>
        <v>72.137620559111539</v>
      </c>
      <c r="AT54" s="244">
        <f>100*EXP(-EXP(Models!$D$67*(ChartData!B54-Models!$C$67+Models!$E$67*Models!$B$4+Models!$F$67*Models!$B$5)))</f>
        <v>99.973508714830203</v>
      </c>
    </row>
    <row r="55" spans="1:46" x14ac:dyDescent="0.2">
      <c r="B55">
        <v>1750</v>
      </c>
      <c r="C55">
        <f>1-'Front Page'!$C$30</f>
        <v>0.99630303030303036</v>
      </c>
      <c r="D55" s="45">
        <f t="shared" si="0"/>
        <v>72.581672478160243</v>
      </c>
      <c r="E55" s="45">
        <f t="shared" si="1"/>
        <v>99.997518230709872</v>
      </c>
      <c r="F55" s="36">
        <f>Equations!$E$4/(1+EXP(Equations!$F$4*ChartData!B55*(Equations!$G$4*Equations!$C$4+Equations!$D$4)))</f>
        <v>83.439937015672811</v>
      </c>
      <c r="G55" s="36">
        <f>Equations!$E$7*EXP(-EXP(-Equations!$F$7*(ChartData!B55-Equations!$G$7+Equations!$H$7*Equations!$C$7+Equations!$I$7*Equations!$D$7)))</f>
        <v>99.908206892437008</v>
      </c>
      <c r="H55" s="55">
        <f>Models!$B$13+Models!$C$13*EXP(Models!$D$13*ChartData!B55+(Models!$E$13*ChartData!B55*Models!$E$3))</f>
        <v>61.047819918169168</v>
      </c>
      <c r="I55" s="55">
        <f>Models!$B$50*EXP(-EXP(Models!$D$50*(ChartData!B55+Models!$C$50-(Models!$E$50*Models!$B$5))))</f>
        <v>99.085064335701375</v>
      </c>
      <c r="J55" s="57">
        <f>Models!$B$12/(1+EXP(Models!$D$12*(ChartData!B55-Models!$C$12+Models!$E$12*ChartData!B55*Models!$B$5)))</f>
        <v>3.0480206278769097E-20</v>
      </c>
      <c r="K55" s="61">
        <f>Models!$B$49*EXP(-EXP(Models!$D$49*(ChartData!B55-Models!$C$49+(Models!$E$49*ChartData!B55*Models!$B$5))))</f>
        <v>99.997757000012726</v>
      </c>
      <c r="L55" s="62">
        <f>Models!$B$15/(1+EXP(Models!$D$15*(ChartData!B55*(1+Models!$D$15*Models!$B$5)-Models!$C$15)))</f>
        <v>3.624770861290135</v>
      </c>
      <c r="M55" s="63">
        <f>Models!$B$52*EXP(-EXP(Models!$D$52*(ChartData!B55*(1+Models!$D$52*Models!$B$5)-Models!$C$52)))</f>
        <v>99.999292154496942</v>
      </c>
      <c r="N55" s="53">
        <f>Models!$B$15/(1+EXP(Models!$D$15*(ChartData!B55-Models!$D$15+Models!$E$15*ChartData!B55*Models!$B$5)))</f>
        <v>2.1847569773184352</v>
      </c>
      <c r="O55" s="53">
        <f>Models!$B$52*EXP(-EXP(Models!$D$52*(ChartData!B55-Models!$C$52+Models!$E$52*ChartData!B55*Models!$B$5)))</f>
        <v>99.999825007405306</v>
      </c>
      <c r="P55" s="172">
        <f>Models!$B$16*Models!$I$16+(100-Models!$B$16*Models!$I$16)/(1+EXP(Models!$C$16*(ChartData!B55-Models!$E$16+Models!$B$4*Models!$F$16+Models!$B$4*Models!$G$16*Models!$I$16+Models!$B$5*Models!$H$16)))</f>
        <v>59.116968257125862</v>
      </c>
      <c r="Q55" s="172">
        <f>Models!$B$53*EXP(-EXP(Models!$D$53*(ChartData!B55+Models!$C$53+Models!$B$5*Models!$E$53+Models!$B$4*Models!$F$53)))</f>
        <v>99.993912120313524</v>
      </c>
      <c r="R55" s="136">
        <f>Models!$B$17*Models!$I$17+(100-Models!$B$17*Models!$I$17)/(1+EXP(Models!$C$17*(ChartData!B55-Models!$E$17+Models!$B$4*Models!$F$17+Models!$B$4*Models!$G$17*Models!$I$17+Models!$B$5*Models!$H$17)))</f>
        <v>79.476281485341616</v>
      </c>
      <c r="S55" s="136">
        <f>Models!$B$54*EXP(-EXP(Models!$D$54*(ChartData!B55+Models!$C$54+Models!$B$5*Models!$E$54+Models!$B$4*Models!$F$54)))</f>
        <v>99.816521027473911</v>
      </c>
      <c r="T55" s="180">
        <f>Models!$B$18*Models!$I$18+(100-Models!$B$18*Models!$I$18)/(1+EXP(Models!$C$18*(ChartData!B55-Models!$E$18+Models!$B$4*Models!$F$18+Models!$B$4*Models!$G$18*Models!$I$18+Models!$B$5*Models!$H$18)))</f>
        <v>47.789558213326572</v>
      </c>
      <c r="U55" s="180">
        <f>Models!$B$55*EXP(-EXP(Models!$D$55*(ChartData!B55+Models!$C$55+Models!$B$5*Models!$E$55+Models!$B$4*Models!$F$55)))</f>
        <v>99.997518690061113</v>
      </c>
      <c r="V55" s="36">
        <f>Models!$B$19*Models!$I$19+(100-Models!$B$19*Models!$I$19)/(1+EXP(Models!$C$19*(ChartData!$B55-Models!$E$19+Models!$B$5*ChartData!$B55*Models!$F$19+Models!$B$4*Models!$G$19)))</f>
        <v>81.290752401274858</v>
      </c>
      <c r="W55" s="36">
        <f>Models!$B$56*EXP(-EXP(Models!$D$56*(ChartData!B55+Models!$C$56+Models!$B$5*Models!$E$56+Models!$B$4*Models!$F$56)))</f>
        <v>99.744979138675589</v>
      </c>
      <c r="X55" s="158">
        <f>Models!$B$20*Models!$I$20+(100-Models!$B$20*Models!$I$20)/(1+EXP(Models!$C$20*(ChartData!$B55-Models!$E$20+Models!$B$5*ChartData!$B55*Models!$F$20+Models!$B$4*Models!$G$20)))</f>
        <v>71.944444775806346</v>
      </c>
      <c r="Y55" s="158">
        <f>Models!$B$57*EXP(-EXP(Models!$D$57*(ChartData!B55+Models!$C$57+Models!$B$5*Models!$E$57+Models!$B$4*Models!$F$57)))</f>
        <v>99.979129350524715</v>
      </c>
      <c r="Z55" s="165">
        <f>Models!$B$21*Models!$I$21+(100-Models!$B$21*Models!$I$21)/(1+EXP(Models!$C$21*(ChartData!$B55-Models!$E$21+Models!$B$5*ChartData!$B55*Models!$F$21+Models!$B$4*Models!$G$21)))</f>
        <v>73.13176648075293</v>
      </c>
      <c r="AA55" s="165">
        <f>Models!$B$58*EXP(-EXP(Models!$D$58*(ChartData!B55+Models!$C$58+Models!$B$5*Models!$E$58+Models!$B$4*Models!$F$58)))</f>
        <v>99.986099765061837</v>
      </c>
      <c r="AB55" s="146">
        <f>200/(1+EXP(Models!$D$22*((Models!$E$22*Models!$B$4+Models!$B$5)*ChartData!B55)))</f>
        <v>87.846859647284759</v>
      </c>
      <c r="AC55" s="146">
        <f>100*EXP(-EXP(Models!$D$59*(ChartData!B55-Models!$C$59+Models!$E$59*Models!$B$4+Models!$F$59*Models!$B$5)))</f>
        <v>98.645772998857694</v>
      </c>
      <c r="AD55" s="149">
        <f>200/(1+EXP(Models!$D$23*((Models!$E$23*Models!$B$4+Models!$B$5)*ChartData!B55)))</f>
        <v>82.452241150516642</v>
      </c>
      <c r="AE55" s="149">
        <f>100*EXP(-EXP(Models!$D$60*(ChartData!B55-Models!$C$60+Models!$E$60*Models!$B$4+Models!$F$60*Models!$B$5)))</f>
        <v>99.737582122577223</v>
      </c>
      <c r="AF55" s="153">
        <f>200/(1+EXP(Models!$D$24*((Models!$E$24*Models!$B$4+Models!$B$5)*ChartData!B55)))</f>
        <v>80.747499144823379</v>
      </c>
      <c r="AG55" s="153">
        <f>100*EXP(-EXP(Models!$D$61*(ChartData!B55-Models!$C$61+Models!$E$61*Models!$B$4+Models!$F$61*Models!$B$5)))</f>
        <v>99.8202924203013</v>
      </c>
      <c r="AH55" s="266">
        <f>IF('Front Page'!$C$31&gt;0,1-'Front Page'!$C$31,"")</f>
        <v>0.995</v>
      </c>
      <c r="AI55" s="214">
        <f>Models!$B$25*Models!$I$25+(200-Models!$B$25*Models!$I$25)/(1+EXP(Models!$C$25*B55*(Models!$B$4*Models!$F$25+Models!$B$5+Models!$I$25*Models!$G$25)))</f>
        <v>83.523227432077675</v>
      </c>
      <c r="AJ55" s="214">
        <f>100*EXP(-EXP(Models!$D$62*(ChartData!B55-Models!$C$62+Models!$E$62*Models!$B$4+Models!$F$62*Models!$B$5)))</f>
        <v>99.744976331289024</v>
      </c>
      <c r="AK55" s="220">
        <f>Models!$B$26*Models!$I$26+(200-Models!$B$26*Models!$I$26)/(1+EXP(Models!$C$26*B55*(Models!$B$4*Models!$F$26+Models!$B$5+Models!$I$26*Models!$G$26)))</f>
        <v>76.873229092176857</v>
      </c>
      <c r="AL55" s="220">
        <f>100*EXP(-EXP(Models!$D$63*(ChartData!B55-Models!$C$63+Models!$E$63*Models!$B$4+Models!$F$63*Models!$B$5)))</f>
        <v>99.979125562637734</v>
      </c>
      <c r="AM55" s="226">
        <f>Models!$B$27*Models!$I$27+(200-Models!$B$27*Models!$I$27)/(1+EXP(Models!$C$27*B55*(Models!$B$4*Models!$F$27+Models!$B$5+Models!$I$27*Models!$G$27)))</f>
        <v>49.712591559152031</v>
      </c>
      <c r="AN55" s="226">
        <f>100*EXP(-EXP(Models!$D$64*(ChartData!B55-Models!$C$64+Models!$E$64*Models!$B$4+Models!$F$64*Models!$B$5)))</f>
        <v>99.986099533068426</v>
      </c>
      <c r="AO55" s="232">
        <f>Models!$B$28*Models!$I$28+(200-Models!$B$28*Models!$I$28)/(1+EXP(Models!$C$28*B55*(Models!$B$4*Models!$F$28+Models!$B$5+Models!$I$28*Models!$G$28)))</f>
        <v>81.062886719964538</v>
      </c>
      <c r="AP55" s="232">
        <f>100*EXP(-EXP(Models!$D$65*(ChartData!B55-Models!$C$65+Models!$E$65*Models!$B$4+Models!$F$65*Models!$B$5)))</f>
        <v>99.81655547214659</v>
      </c>
      <c r="AQ55" s="238">
        <f>Models!$B$29*Models!$I$29+(200-Models!$B$29*Models!$I$29)/(1+EXP(Models!$C$29*B55*(Models!$B$4*Models!$F$29+Models!$B$5+Models!$I$29*Models!$G$29)))</f>
        <v>72.581672478160243</v>
      </c>
      <c r="AR55" s="238">
        <f>100*EXP(-EXP(Models!$D$66*(ChartData!B55-Models!$C$66+Models!$E$66*Models!$B$4+Models!$F$66*Models!$B$5)))</f>
        <v>99.997518230709872</v>
      </c>
      <c r="AS55" s="244">
        <f>Models!$B$30*Models!$I$30+(200-Models!$B$30*Models!$I$30)/(1+EXP(Models!$C$30*B55*(Models!$B$4*Models!$F$30+Models!$B$5+Models!$I$30*Models!$G$30)))</f>
        <v>71.257140224108099</v>
      </c>
      <c r="AT55" s="244">
        <f>100*EXP(-EXP(Models!$D$67*(ChartData!B55-Models!$C$67+Models!$E$67*Models!$B$4+Models!$F$67*Models!$B$5)))</f>
        <v>99.979310013700314</v>
      </c>
    </row>
    <row r="56" spans="1:46" x14ac:dyDescent="0.2">
      <c r="B56">
        <v>1800</v>
      </c>
      <c r="C56">
        <f>1-'Front Page'!$C$30</f>
        <v>0.99630303030303036</v>
      </c>
      <c r="D56" s="45">
        <f t="shared" si="0"/>
        <v>71.839814301977043</v>
      </c>
      <c r="E56" s="45">
        <f t="shared" si="1"/>
        <v>99.998170148183647</v>
      </c>
      <c r="F56" s="36">
        <f>Equations!$E$4/(1+EXP(Equations!$F$4*ChartData!B56*(Equations!$G$4*Equations!$C$4+Equations!$D$4)))</f>
        <v>82.975861104148393</v>
      </c>
      <c r="G56" s="36">
        <f>Equations!$E$7*EXP(-EXP(-Equations!$F$7*(ChartData!B56-Equations!$G$7+Equations!$H$7*Equations!$C$7+Equations!$I$7*Equations!$D$7)))</f>
        <v>99.922379379010664</v>
      </c>
      <c r="H56" s="55">
        <f>Models!$B$13+Models!$C$13*EXP(Models!$D$13*ChartData!B56+(Models!$E$13*ChartData!B56*Models!$E$3))</f>
        <v>60.266979299695834</v>
      </c>
      <c r="I56" s="55">
        <f>Models!$B$50*EXP(-EXP(Models!$D$50*(ChartData!B56+Models!$C$50-(Models!$E$50*Models!$B$5))))</f>
        <v>99.182830827647877</v>
      </c>
      <c r="J56" s="57">
        <f>Models!$B$12/(1+EXP(Models!$D$12*(ChartData!B56-Models!$C$12+Models!$E$12*ChartData!B56*Models!$B$5)))</f>
        <v>4.896288643677295E-21</v>
      </c>
      <c r="K56" s="61">
        <f>Models!$B$49*EXP(-EXP(Models!$D$49*(ChartData!B56-Models!$C$49+(Models!$E$49*ChartData!B56*Models!$B$5))))</f>
        <v>99.998420359062109</v>
      </c>
      <c r="L56" s="62">
        <f>Models!$B$15/(1+EXP(Models!$D$15*(ChartData!B56*(1+Models!$D$15*Models!$B$5)-Models!$C$15)))</f>
        <v>3.2375090126956367</v>
      </c>
      <c r="M56" s="63">
        <f>Models!$B$52*EXP(-EXP(Models!$D$52*(ChartData!B56*(1+Models!$D$52*Models!$B$5)-Models!$C$52)))</f>
        <v>99.999517433143268</v>
      </c>
      <c r="N56" s="53">
        <f>Models!$B$15/(1+EXP(Models!$D$15*(ChartData!B56-Models!$D$15+Models!$E$15*ChartData!B56*Models!$B$5)))</f>
        <v>1.9233854766261871</v>
      </c>
      <c r="O56" s="53">
        <f>Models!$B$52*EXP(-EXP(Models!$D$52*(ChartData!B56-Models!$C$52+Models!$E$52*ChartData!B56*Models!$B$5)))</f>
        <v>99.999885370141698</v>
      </c>
      <c r="P56" s="172">
        <f>Models!$B$16*Models!$I$16+(100-Models!$B$16*Models!$I$16)/(1+EXP(Models!$C$16*(ChartData!B56-Models!$E$16+Models!$B$4*Models!$F$16+Models!$B$4*Models!$G$16*Models!$I$16+Models!$B$5*Models!$H$16)))</f>
        <v>56.322300351501596</v>
      </c>
      <c r="Q56" s="172">
        <f>Models!$B$53*EXP(-EXP(Models!$D$53*(ChartData!B56+Models!$C$53+Models!$B$5*Models!$E$53+Models!$B$4*Models!$F$53)))</f>
        <v>99.995400731351737</v>
      </c>
      <c r="R56" s="136">
        <f>Models!$B$17*Models!$I$17+(100-Models!$B$17*Models!$I$17)/(1+EXP(Models!$C$17*(ChartData!B56-Models!$E$17+Models!$B$4*Models!$F$17+Models!$B$4*Models!$G$17*Models!$I$17+Models!$B$5*Models!$H$17)))</f>
        <v>77.9551116120644</v>
      </c>
      <c r="S56" s="136">
        <f>Models!$B$54*EXP(-EXP(Models!$D$54*(ChartData!B56+Models!$C$54+Models!$B$5*Models!$E$54+Models!$B$4*Models!$F$54)))</f>
        <v>99.84779524907654</v>
      </c>
      <c r="T56" s="180">
        <f>Models!$B$18*Models!$I$18+(100-Models!$B$18*Models!$I$18)/(1+EXP(Models!$C$18*(ChartData!B56-Models!$E$18+Models!$B$4*Models!$F$18+Models!$B$4*Models!$G$18*Models!$I$18+Models!$B$5*Models!$H$18)))</f>
        <v>44.7727436585226</v>
      </c>
      <c r="U56" s="180">
        <f>Models!$B$55*EXP(-EXP(Models!$D$55*(ChartData!B56+Models!$C$55+Models!$B$5*Models!$E$55+Models!$B$4*Models!$F$55)))</f>
        <v>99.99817049601991</v>
      </c>
      <c r="V56" s="36">
        <f>Models!$B$19*Models!$I$19+(100-Models!$B$19*Models!$I$19)/(1+EXP(Models!$C$19*(ChartData!$B56-Models!$E$19+Models!$B$5*ChartData!$B56*Models!$F$19+Models!$B$4*Models!$G$19)))</f>
        <v>80.812294248994263</v>
      </c>
      <c r="W56" s="36">
        <f>Models!$B$56*EXP(-EXP(Models!$D$56*(ChartData!B56+Models!$C$56+Models!$B$5*Models!$E$56+Models!$B$4*Models!$F$56)))</f>
        <v>99.777856168081186</v>
      </c>
      <c r="X56" s="158">
        <f>Models!$B$20*Models!$I$20+(100-Models!$B$20*Models!$I$20)/(1+EXP(Models!$C$20*(ChartData!$B56-Models!$E$20+Models!$B$5*ChartData!$B56*Models!$F$20+Models!$B$4*Models!$G$20)))</f>
        <v>71.007954216329935</v>
      </c>
      <c r="Y56" s="158">
        <f>Models!$B$57*EXP(-EXP(Models!$D$57*(ChartData!B56+Models!$C$57+Models!$B$5*Models!$E$57+Models!$B$4*Models!$F$57)))</f>
        <v>99.983066167770843</v>
      </c>
      <c r="Z56" s="165">
        <f>Models!$B$21*Models!$I$21+(100-Models!$B$21*Models!$I$21)/(1+EXP(Models!$C$21*(ChartData!$B56-Models!$E$21+Models!$B$5*ChartData!$B56*Models!$F$21+Models!$B$4*Models!$G$21)))</f>
        <v>72.185728454288636</v>
      </c>
      <c r="AA56" s="165">
        <f>Models!$B$58*EXP(-EXP(Models!$D$58*(ChartData!B56+Models!$C$58+Models!$B$5*Models!$E$58+Models!$B$4*Models!$F$58)))</f>
        <v>99.988851839532202</v>
      </c>
      <c r="AB56" s="146">
        <f>200/(1+EXP(Models!$D$22*((Models!$E$22*Models!$B$4+Models!$B$5)*ChartData!B56)))</f>
        <v>87.503203423293172</v>
      </c>
      <c r="AC56" s="146">
        <f>100*EXP(-EXP(Models!$D$59*(ChartData!B56-Models!$C$59+Models!$E$59*Models!$B$4+Models!$F$59*Models!$B$5)))</f>
        <v>98.769878309499433</v>
      </c>
      <c r="AD56" s="149">
        <f>200/(1+EXP(Models!$D$23*((Models!$E$23*Models!$B$4+Models!$B$5)*ChartData!B56)))</f>
        <v>81.961673289948266</v>
      </c>
      <c r="AE56" s="149">
        <f>100*EXP(-EXP(Models!$D$60*(ChartData!B56-Models!$C$60+Models!$E$60*Models!$B$4+Models!$F$60*Models!$B$5)))</f>
        <v>99.772615206286702</v>
      </c>
      <c r="AF56" s="153">
        <f>200/(1+EXP(Models!$D$24*((Models!$E$24*Models!$B$4+Models!$B$5)*ChartData!B56)))</f>
        <v>80.211702812467948</v>
      </c>
      <c r="AG56" s="153">
        <f>100*EXP(-EXP(Models!$D$61*(ChartData!B56-Models!$C$61+Models!$E$61*Models!$B$4+Models!$F$61*Models!$B$5)))</f>
        <v>99.845958125177006</v>
      </c>
      <c r="AH56" s="266">
        <f>IF('Front Page'!$C$31&gt;0,1-'Front Page'!$C$31,"")</f>
        <v>0.995</v>
      </c>
      <c r="AI56" s="214">
        <f>Models!$B$25*Models!$I$25+(200-Models!$B$25*Models!$I$25)/(1+EXP(Models!$C$25*B56*(Models!$B$4*Models!$F$25+Models!$B$5+Models!$I$25*Models!$G$25)))</f>
        <v>83.061394654627335</v>
      </c>
      <c r="AJ56" s="214">
        <f>100*EXP(-EXP(Models!$D$62*(ChartData!B56-Models!$C$62+Models!$E$62*Models!$B$4+Models!$F$62*Models!$B$5)))</f>
        <v>99.777853722216875</v>
      </c>
      <c r="AK56" s="220">
        <f>Models!$B$26*Models!$I$26+(200-Models!$B$26*Models!$I$26)/(1+EXP(Models!$C$26*B56*(Models!$B$4*Models!$F$26+Models!$B$5+Models!$I$26*Models!$G$26)))</f>
        <v>76.237282071274294</v>
      </c>
      <c r="AL56" s="220">
        <f>100*EXP(-EXP(Models!$D$63*(ChartData!B56-Models!$C$63+Models!$E$63*Models!$B$4+Models!$F$63*Models!$B$5)))</f>
        <v>99.983063009652469</v>
      </c>
      <c r="AM56" s="226">
        <f>Models!$B$27*Models!$I$27+(200-Models!$B$27*Models!$I$27)/(1+EXP(Models!$C$27*B56*(Models!$B$4*Models!$F$27+Models!$B$5+Models!$I$27*Models!$G$27)))</f>
        <v>48.550222127208208</v>
      </c>
      <c r="AN56" s="226">
        <f>100*EXP(-EXP(Models!$D$64*(ChartData!B56-Models!$C$64+Models!$E$64*Models!$B$4+Models!$F$64*Models!$B$5)))</f>
        <v>99.98885165346806</v>
      </c>
      <c r="AO56" s="232">
        <f>Models!$B$28*Models!$I$28+(200-Models!$B$28*Models!$I$28)/(1+EXP(Models!$C$28*B56*(Models!$B$4*Models!$F$28+Models!$B$5+Models!$I$28*Models!$G$28)))</f>
        <v>80.535408374584961</v>
      </c>
      <c r="AP56" s="232">
        <f>100*EXP(-EXP(Models!$D$65*(ChartData!B56-Models!$C$65+Models!$E$65*Models!$B$4+Models!$F$65*Models!$B$5)))</f>
        <v>99.847823827087794</v>
      </c>
      <c r="AQ56" s="238">
        <f>Models!$B$29*Models!$I$29+(200-Models!$B$29*Models!$I$29)/(1+EXP(Models!$C$29*B56*(Models!$B$4*Models!$F$29+Models!$B$5+Models!$I$29*Models!$G$29)))</f>
        <v>71.839814301977043</v>
      </c>
      <c r="AR56" s="238">
        <f>100*EXP(-EXP(Models!$D$66*(ChartData!B56-Models!$C$66+Models!$E$66*Models!$B$4+Models!$F$66*Models!$B$5)))</f>
        <v>99.998170148183647</v>
      </c>
      <c r="AS56" s="244">
        <f>Models!$B$30*Models!$I$30+(200-Models!$B$30*Models!$I$30)/(1+EXP(Models!$C$30*B56*(Models!$B$4*Models!$F$30+Models!$B$5+Models!$I$30*Models!$G$30)))</f>
        <v>70.383169086165395</v>
      </c>
      <c r="AT56" s="244">
        <f>100*EXP(-EXP(Models!$D$67*(ChartData!B56-Models!$C$67+Models!$E$67*Models!$B$4+Models!$F$67*Models!$B$5)))</f>
        <v>99.983840994861751</v>
      </c>
    </row>
    <row r="57" spans="1:46" x14ac:dyDescent="0.2">
      <c r="A57" s="253" t="s">
        <v>410</v>
      </c>
      <c r="B57">
        <v>1850</v>
      </c>
      <c r="C57">
        <f>1-'Front Page'!$C$30</f>
        <v>0.99630303030303036</v>
      </c>
      <c r="D57" s="45">
        <f t="shared" si="0"/>
        <v>71.101307497275897</v>
      </c>
      <c r="E57" s="45">
        <f t="shared" si="1"/>
        <v>99.998650819471408</v>
      </c>
      <c r="F57" s="36">
        <f>Equations!$E$4/(1+EXP(Equations!$F$4*ChartData!B57*(Equations!$G$4*Equations!$C$4+Equations!$D$4)))</f>
        <v>82.512539137934809</v>
      </c>
      <c r="G57" s="36">
        <f>Equations!$E$7*EXP(-EXP(-Equations!$F$7*(ChartData!B57-Equations!$G$7+Equations!$H$7*Equations!$C$7+Equations!$I$7*Equations!$D$7)))</f>
        <v>99.934364409480807</v>
      </c>
      <c r="H57" s="55">
        <f>Models!$B$13+Models!$C$13*EXP(Models!$D$13*ChartData!B57+(Models!$E$13*ChartData!B57*Models!$E$3))</f>
        <v>59.500604721758926</v>
      </c>
      <c r="I57" s="55">
        <f>Models!$B$50*EXP(-EXP(Models!$D$50*(ChartData!B57+Models!$C$50-(Models!$E$50*Models!$B$5))))</f>
        <v>99.27018887763262</v>
      </c>
      <c r="J57" s="57">
        <f>Models!$B$12/(1+EXP(Models!$D$12*(ChartData!B57-Models!$C$12+Models!$E$12*ChartData!B57*Models!$B$5)))</f>
        <v>7.8653150385343755E-22</v>
      </c>
      <c r="K57" s="61">
        <f>Models!$B$49*EXP(-EXP(Models!$D$49*(ChartData!B57-Models!$C$49+(Models!$E$49*ChartData!B57*Models!$B$5))))</f>
        <v>99.99888753318811</v>
      </c>
      <c r="L57" s="62">
        <f>Models!$B$15/(1+EXP(Models!$D$15*(ChartData!B57*(1+Models!$D$15*Models!$B$5)-Models!$C$15)))</f>
        <v>2.8910121888056124</v>
      </c>
      <c r="M57" s="63">
        <f>Models!$B$52*EXP(-EXP(Models!$D$52*(ChartData!B57*(1+Models!$D$52*Models!$B$5)-Models!$C$52)))</f>
        <v>99.999671014809408</v>
      </c>
      <c r="N57" s="53">
        <f>Models!$B$15/(1+EXP(Models!$D$15*(ChartData!B57-Models!$D$15+Models!$E$15*ChartData!B57*Models!$B$5)))</f>
        <v>1.6930153106104922</v>
      </c>
      <c r="O57" s="53">
        <f>Models!$B$52*EXP(-EXP(Models!$D$52*(ChartData!B57-Models!$C$52+Models!$E$52*ChartData!B57*Models!$B$5)))</f>
        <v>99.999924911090844</v>
      </c>
      <c r="P57" s="172">
        <f>Models!$B$16*Models!$I$16+(100-Models!$B$16*Models!$I$16)/(1+EXP(Models!$C$16*(ChartData!B57-Models!$E$16+Models!$B$4*Models!$F$16+Models!$B$4*Models!$G$16*Models!$I$16+Models!$B$5*Models!$H$16)))</f>
        <v>53.486902941669854</v>
      </c>
      <c r="Q57" s="172">
        <f>Models!$B$53*EXP(-EXP(Models!$D$53*(ChartData!B57+Models!$C$53+Models!$B$5*Models!$E$53+Models!$B$4*Models!$F$53)))</f>
        <v>99.996525352883523</v>
      </c>
      <c r="R57" s="136">
        <f>Models!$B$17*Models!$I$17+(100-Models!$B$17*Models!$I$17)/(1+EXP(Models!$C$17*(ChartData!B57-Models!$E$17+Models!$B$4*Models!$F$17+Models!$B$4*Models!$G$17*Models!$I$17+Models!$B$5*Models!$H$17)))</f>
        <v>76.354739508296902</v>
      </c>
      <c r="S57" s="136">
        <f>Models!$B$54*EXP(-EXP(Models!$D$54*(ChartData!B57+Models!$C$54+Models!$B$5*Models!$E$54+Models!$B$4*Models!$F$54)))</f>
        <v>99.873742112055325</v>
      </c>
      <c r="T57" s="180">
        <f>Models!$B$18*Models!$I$18+(100-Models!$B$18*Models!$I$18)/(1+EXP(Models!$C$18*(ChartData!B57-Models!$E$18+Models!$B$4*Models!$F$18+Models!$B$4*Models!$G$18*Models!$I$18+Models!$B$5*Models!$H$18)))</f>
        <v>41.837625713494248</v>
      </c>
      <c r="U57" s="180">
        <f>Models!$B$55*EXP(-EXP(Models!$D$55*(ChartData!B57+Models!$C$55+Models!$B$5*Models!$E$55+Models!$B$4*Models!$F$55)))</f>
        <v>99.998651082682102</v>
      </c>
      <c r="V57" s="36">
        <f>Models!$B$19*Models!$I$19+(100-Models!$B$19*Models!$I$19)/(1+EXP(Models!$C$19*(ChartData!$B57-Models!$E$19+Models!$B$5*ChartData!$B57*Models!$F$19+Models!$B$4*Models!$G$19)))</f>
        <v>80.324561839862625</v>
      </c>
      <c r="W57" s="36">
        <f>Models!$B$56*EXP(-EXP(Models!$D$56*(ChartData!B57+Models!$C$56+Models!$B$5*Models!$E$56+Models!$B$4*Models!$F$56)))</f>
        <v>99.806498836486867</v>
      </c>
      <c r="X57" s="158">
        <f>Models!$B$20*Models!$I$20+(100-Models!$B$20*Models!$I$20)/(1+EXP(Models!$C$20*(ChartData!$B57-Models!$E$20+Models!$B$5*ChartData!$B57*Models!$F$20+Models!$B$4*Models!$G$20)))</f>
        <v>70.053215635863779</v>
      </c>
      <c r="Y57" s="158">
        <f>Models!$B$57*EXP(-EXP(Models!$D$57*(ChartData!B57+Models!$C$57+Models!$B$5*Models!$E$57+Models!$B$4*Models!$F$57)))</f>
        <v>99.986260436726837</v>
      </c>
      <c r="Z57" s="165">
        <f>Models!$B$21*Models!$I$21+(100-Models!$B$21*Models!$I$21)/(1+EXP(Models!$C$21*(ChartData!$B57-Models!$E$21+Models!$B$5*ChartData!$B57*Models!$F$21+Models!$B$4*Models!$G$21)))</f>
        <v>71.222316921050265</v>
      </c>
      <c r="AA57" s="165">
        <f>Models!$B$58*EXP(-EXP(Models!$D$58*(ChartData!B57+Models!$C$58+Models!$B$5*Models!$E$58+Models!$B$4*Models!$F$58)))</f>
        <v>99.991059061682762</v>
      </c>
      <c r="AB57" s="146">
        <f>200/(1+EXP(Models!$D$22*((Models!$E$22*Models!$B$4+Models!$B$5)*ChartData!B57)))</f>
        <v>87.15984679407903</v>
      </c>
      <c r="AC57" s="146">
        <f>100*EXP(-EXP(Models!$D$59*(ChartData!B57-Models!$C$59+Models!$E$59*Models!$B$4+Models!$F$59*Models!$B$5)))</f>
        <v>98.882674752324348</v>
      </c>
      <c r="AD57" s="149">
        <f>200/(1+EXP(Models!$D$23*((Models!$E$23*Models!$B$4+Models!$B$5)*ChartData!B57)))</f>
        <v>81.472001200026156</v>
      </c>
      <c r="AE57" s="149">
        <f>100*EXP(-EXP(Models!$D$60*(ChartData!B57-Models!$C$60+Models!$E$60*Models!$B$4+Models!$F$60*Models!$B$5)))</f>
        <v>99.802975954125614</v>
      </c>
      <c r="AF57" s="153">
        <f>200/(1+EXP(Models!$D$24*((Models!$E$24*Models!$B$4+Models!$B$5)*ChartData!B57)))</f>
        <v>79.677086334384441</v>
      </c>
      <c r="AG57" s="153">
        <f>100*EXP(-EXP(Models!$D$61*(ChartData!B57-Models!$C$61+Models!$E$61*Models!$B$4+Models!$F$61*Models!$B$5)))</f>
        <v>99.867960697556384</v>
      </c>
      <c r="AH57" s="266">
        <f>IF('Front Page'!$C$31&gt;0,1-'Front Page'!$C$31,"")</f>
        <v>0.995</v>
      </c>
      <c r="AI57" s="214">
        <f>Models!$B$25*Models!$I$25+(200-Models!$B$25*Models!$I$25)/(1+EXP(Models!$C$25*B57*(Models!$B$4*Models!$F$25+Models!$B$5+Models!$I$25*Models!$G$25)))</f>
        <v>82.600304590189737</v>
      </c>
      <c r="AJ57" s="214">
        <f>100*EXP(-EXP(Models!$D$62*(ChartData!B57-Models!$C$62+Models!$E$62*Models!$B$4+Models!$F$62*Models!$B$5)))</f>
        <v>99.806496705680274</v>
      </c>
      <c r="AK57" s="220">
        <f>Models!$B$26*Models!$I$26+(200-Models!$B$26*Models!$I$26)/(1+EXP(Models!$C$26*B57*(Models!$B$4*Models!$F$26+Models!$B$5+Models!$I$26*Models!$G$26)))</f>
        <v>75.603365638358895</v>
      </c>
      <c r="AL57" s="220">
        <f>100*EXP(-EXP(Models!$D$63*(ChartData!B57-Models!$C$63+Models!$E$63*Models!$B$4+Models!$F$63*Models!$B$5)))</f>
        <v>99.986257805584799</v>
      </c>
      <c r="AM57" s="226">
        <f>Models!$B$27*Models!$I$27+(200-Models!$B$27*Models!$I$27)/(1+EXP(Models!$C$27*B57*(Models!$B$4*Models!$F$27+Models!$B$5+Models!$I$27*Models!$G$27)))</f>
        <v>47.41904391187618</v>
      </c>
      <c r="AN57" s="226">
        <f>100*EXP(-EXP(Models!$D$64*(ChartData!B57-Models!$C$64+Models!$E$64*Models!$B$4+Models!$F$64*Models!$B$5)))</f>
        <v>99.99105891245577</v>
      </c>
      <c r="AO57" s="232">
        <f>Models!$B$28*Models!$I$28+(200-Models!$B$28*Models!$I$28)/(1+EXP(Models!$C$28*B57*(Models!$B$4*Models!$F$28+Models!$B$5+Models!$I$28*Models!$G$28)))</f>
        <v>80.009053424423584</v>
      </c>
      <c r="AP57" s="232">
        <f>100*EXP(-EXP(Models!$D$65*(ChartData!B57-Models!$C$65+Models!$E$65*Models!$B$4+Models!$F$65*Models!$B$5)))</f>
        <v>99.873765821355676</v>
      </c>
      <c r="AQ57" s="238">
        <f>Models!$B$29*Models!$I$29+(200-Models!$B$29*Models!$I$29)/(1+EXP(Models!$C$29*B57*(Models!$B$4*Models!$F$29+Models!$B$5+Models!$I$29*Models!$G$29)))</f>
        <v>71.101307497275897</v>
      </c>
      <c r="AR57" s="238">
        <f>100*EXP(-EXP(Models!$D$66*(ChartData!B57-Models!$C$66+Models!$E$66*Models!$B$4+Models!$F$66*Models!$B$5)))</f>
        <v>99.998650819471408</v>
      </c>
      <c r="AS57" s="244">
        <f>Models!$B$30*Models!$I$30+(200-Models!$B$30*Models!$I$30)/(1+EXP(Models!$C$30*B57*(Models!$B$4*Models!$F$30+Models!$B$5+Models!$I$30*Models!$G$30)))</f>
        <v>69.515826659879835</v>
      </c>
      <c r="AT57" s="244">
        <f>100*EXP(-EXP(Models!$D$67*(ChartData!B57-Models!$C$67+Models!$E$67*Models!$B$4+Models!$F$67*Models!$B$5)))</f>
        <v>99.987379781332479</v>
      </c>
    </row>
    <row r="58" spans="1:46" x14ac:dyDescent="0.2">
      <c r="A58" s="254" t="s">
        <v>411</v>
      </c>
      <c r="B58">
        <v>1900</v>
      </c>
      <c r="C58">
        <f>1-'Front Page'!$C$30</f>
        <v>0.99630303030303036</v>
      </c>
      <c r="D58" s="45">
        <f t="shared" si="0"/>
        <v>70.366224214690504</v>
      </c>
      <c r="E58" s="45">
        <f t="shared" si="1"/>
        <v>99.999005227126432</v>
      </c>
      <c r="F58" s="36">
        <f>Equations!$E$4/(1+EXP(Equations!$F$4*ChartData!B58*(Equations!$G$4*Equations!$C$4+Equations!$D$4)))</f>
        <v>82.049990360796969</v>
      </c>
      <c r="G58" s="36">
        <f>Equations!$E$7*EXP(-EXP(-Equations!$F$7*(ChartData!B58-Equations!$G$7+Equations!$H$7*Equations!$C$7+Equations!$I$7*Equations!$D$7)))</f>
        <v>99.944499402426317</v>
      </c>
      <c r="H58" s="55">
        <f>Models!$B$13+Models!$C$13*EXP(Models!$D$13*ChartData!B58+(Models!$E$13*ChartData!B58*Models!$E$3))</f>
        <v>58.748428183022618</v>
      </c>
      <c r="I58" s="55">
        <f>Models!$B$50*EXP(-EXP(Models!$D$50*(ChartData!B58+Models!$C$50-(Models!$E$50*Models!$B$5))))</f>
        <v>99.348238775841509</v>
      </c>
      <c r="J58" s="57">
        <f>Models!$B$12/(1+EXP(Models!$D$12*(ChartData!B58-Models!$C$12+Models!$E$12*ChartData!B58*Models!$B$5)))</f>
        <v>1.2634708685992394E-22</v>
      </c>
      <c r="K58" s="61">
        <f>Models!$B$49*EXP(-EXP(Models!$D$49*(ChartData!B58-Models!$C$49+(Models!$E$49*ChartData!B58*Models!$B$5))))</f>
        <v>99.999216542492093</v>
      </c>
      <c r="L58" s="62">
        <f>Models!$B$15/(1+EXP(Models!$D$15*(ChartData!B58*(1+Models!$D$15*Models!$B$5)-Models!$C$15)))</f>
        <v>2.5811129809781934</v>
      </c>
      <c r="M58" s="63">
        <f>Models!$B$52*EXP(-EXP(Models!$D$52*(ChartData!B58*(1+Models!$D$52*Models!$B$5)-Models!$C$52)))</f>
        <v>99.99977571764893</v>
      </c>
      <c r="N58" s="53">
        <f>Models!$B$15/(1+EXP(Models!$D$15*(ChartData!B58-Models!$D$15+Models!$E$15*ChartData!B58*Models!$B$5)))</f>
        <v>1.4900297704350367</v>
      </c>
      <c r="O58" s="53">
        <f>Models!$B$52*EXP(-EXP(Models!$D$52*(ChartData!B58-Models!$C$52+Models!$E$52*ChartData!B58*Models!$B$5)))</f>
        <v>99.999950812606968</v>
      </c>
      <c r="P58" s="172">
        <f>Models!$B$16*Models!$I$16+(100-Models!$B$16*Models!$I$16)/(1+EXP(Models!$C$16*(ChartData!B58-Models!$E$16+Models!$B$4*Models!$F$16+Models!$B$4*Models!$G$16*Models!$I$16+Models!$B$5*Models!$H$16)))</f>
        <v>50.628789074131546</v>
      </c>
      <c r="Q58" s="172">
        <f>Models!$B$53*EXP(-EXP(Models!$D$53*(ChartData!B58+Models!$C$53+Models!$B$5*Models!$E$53+Models!$B$4*Models!$F$53)))</f>
        <v>99.997374983523187</v>
      </c>
      <c r="R58" s="136">
        <f>Models!$B$17*Models!$I$17+(100-Models!$B$17*Models!$I$17)/(1+EXP(Models!$C$17*(ChartData!B58-Models!$E$17+Models!$B$4*Models!$F$17+Models!$B$4*Models!$G$17*Models!$I$17+Models!$B$5*Models!$H$17)))</f>
        <v>74.67592852234327</v>
      </c>
      <c r="S58" s="136">
        <f>Models!$B$54*EXP(-EXP(Models!$D$54*(ChartData!B58+Models!$C$54+Models!$B$5*Models!$E$54+Models!$B$4*Models!$F$54)))</f>
        <v>99.895268044824576</v>
      </c>
      <c r="T58" s="180">
        <f>Models!$B$18*Models!$I$18+(100-Models!$B$18*Models!$I$18)/(1+EXP(Models!$C$18*(ChartData!B58-Models!$E$18+Models!$B$4*Models!$F$18+Models!$B$4*Models!$G$18*Models!$I$18+Models!$B$5*Models!$H$18)))</f>
        <v>39.006577421602152</v>
      </c>
      <c r="U58" s="180">
        <f>Models!$B$55*EXP(-EXP(Models!$D$55*(ChartData!B58+Models!$C$55+Models!$B$5*Models!$E$55+Models!$B$4*Models!$F$55)))</f>
        <v>99.999005426169191</v>
      </c>
      <c r="V58" s="36">
        <f>Models!$B$19*Models!$I$19+(100-Models!$B$19*Models!$I$19)/(1+EXP(Models!$C$19*(ChartData!$B58-Models!$E$19+Models!$B$5*ChartData!$B58*Models!$F$19+Models!$B$4*Models!$G$19)))</f>
        <v>79.82752648147563</v>
      </c>
      <c r="W58" s="36">
        <f>Models!$B$56*EXP(-EXP(Models!$D$56*(ChartData!B58+Models!$C$56+Models!$B$5*Models!$E$56+Models!$B$4*Models!$F$56)))</f>
        <v>99.831451510934428</v>
      </c>
      <c r="X58" s="158">
        <f>Models!$B$20*Models!$I$20+(100-Models!$B$20*Models!$I$20)/(1+EXP(Models!$C$20*(ChartData!$B58-Models!$E$20+Models!$B$5*ChartData!$B58*Models!$F$20+Models!$B$4*Models!$G$20)))</f>
        <v>69.080726790034475</v>
      </c>
      <c r="Y58" s="158">
        <f>Models!$B$57*EXP(-EXP(Models!$D$57*(ChartData!B58+Models!$C$57+Models!$B$5*Models!$E$57+Models!$B$4*Models!$F$57)))</f>
        <v>99.988852196741007</v>
      </c>
      <c r="Z58" s="165">
        <f>Models!$B$21*Models!$I$21+(100-Models!$B$21*Models!$I$21)/(1+EXP(Models!$C$21*(ChartData!$B58-Models!$E$21+Models!$B$5*ChartData!$B58*Models!$F$21+Models!$B$4*Models!$G$21)))</f>
        <v>70.242308227739443</v>
      </c>
      <c r="AA58" s="165">
        <f>Models!$B$58*EXP(-EXP(Models!$D$58*(ChartData!B58+Models!$C$58+Models!$B$5*Models!$E$58+Models!$B$4*Models!$F$58)))</f>
        <v>99.99282929201361</v>
      </c>
      <c r="AB58" s="146">
        <f>200/(1+EXP(Models!$D$22*((Models!$E$22*Models!$B$4+Models!$B$5)*ChartData!B58)))</f>
        <v>86.816797719137909</v>
      </c>
      <c r="AC58" s="146">
        <f>100*EXP(-EXP(Models!$D$59*(ChartData!B58-Models!$C$59+Models!$E$59*Models!$B$4+Models!$F$59*Models!$B$5)))</f>
        <v>98.98518149010404</v>
      </c>
      <c r="AD58" s="149">
        <f>200/(1+EXP(Models!$D$23*((Models!$E$23*Models!$B$4+Models!$B$5)*ChartData!B58)))</f>
        <v>80.983247494693273</v>
      </c>
      <c r="AE58" s="149">
        <f>100*EXP(-EXP(Models!$D$60*(ChartData!B58-Models!$C$60+Models!$E$60*Models!$B$4+Models!$F$60*Models!$B$5)))</f>
        <v>99.829286359552711</v>
      </c>
      <c r="AF58" s="153">
        <f>200/(1+EXP(Models!$D$24*((Models!$E$24*Models!$B$4+Models!$B$5)*ChartData!B58)))</f>
        <v>79.143678882197051</v>
      </c>
      <c r="AG58" s="153">
        <f>100*EXP(-EXP(Models!$D$61*(ChartData!B58-Models!$C$61+Models!$E$61*Models!$B$4+Models!$F$61*Models!$B$5)))</f>
        <v>99.886822313728089</v>
      </c>
      <c r="AH58" s="266">
        <f>IF('Front Page'!$C$31&gt;0,1-'Front Page'!$C$31,"")</f>
        <v>0.995</v>
      </c>
      <c r="AI58" s="214">
        <f>Models!$B$25*Models!$I$25+(200-Models!$B$25*Models!$I$25)/(1+EXP(Models!$C$25*B58*(Models!$B$4*Models!$F$25+Models!$B$5+Models!$I$25*Models!$G$25)))</f>
        <v>82.139976212737338</v>
      </c>
      <c r="AJ58" s="214">
        <f>100*EXP(-EXP(Models!$D$62*(ChartData!B58-Models!$C$62+Models!$E$62*Models!$B$4+Models!$F$62*Models!$B$5)))</f>
        <v>99.83144965467099</v>
      </c>
      <c r="AK58" s="220">
        <f>Models!$B$26*Models!$I$26+(200-Models!$B$26*Models!$I$26)/(1+EXP(Models!$C$26*B58*(Models!$B$4*Models!$F$26+Models!$B$5+Models!$I$26*Models!$G$26)))</f>
        <v>74.971527218126056</v>
      </c>
      <c r="AL58" s="220">
        <f>100*EXP(-EXP(Models!$D$63*(ChartData!B58-Models!$C$63+Models!$E$63*Models!$B$4+Models!$F$63*Models!$B$5)))</f>
        <v>99.988850006149576</v>
      </c>
      <c r="AM58" s="226">
        <f>Models!$B$27*Models!$I$27+(200-Models!$B$27*Models!$I$27)/(1+EXP(Models!$C$27*B58*(Models!$B$4*Models!$F$27+Models!$B$5+Models!$I$27*Models!$G$27)))</f>
        <v>46.318791638314096</v>
      </c>
      <c r="AN58" s="226">
        <f>100*EXP(-EXP(Models!$D$64*(ChartData!B58-Models!$C$64+Models!$E$64*Models!$B$4+Models!$F$64*Models!$B$5)))</f>
        <v>99.992829172331241</v>
      </c>
      <c r="AO58" s="232">
        <f>Models!$B$28*Models!$I$28+(200-Models!$B$28*Models!$I$28)/(1+EXP(Models!$C$28*B58*(Models!$B$4*Models!$F$28+Models!$B$5+Models!$I$28*Models!$G$28)))</f>
        <v>79.483849757558716</v>
      </c>
      <c r="AP58" s="232">
        <f>100*EXP(-EXP(Models!$D$65*(ChartData!B58-Models!$C$65+Models!$E$65*Models!$B$4+Models!$F$65*Models!$B$5)))</f>
        <v>99.895287714003302</v>
      </c>
      <c r="AQ58" s="238">
        <f>Models!$B$29*Models!$I$29+(200-Models!$B$29*Models!$I$29)/(1+EXP(Models!$C$29*B58*(Models!$B$4*Models!$F$29+Models!$B$5+Models!$I$29*Models!$G$29)))</f>
        <v>70.366224214690504</v>
      </c>
      <c r="AR58" s="238">
        <f>100*EXP(-EXP(Models!$D$66*(ChartData!B58-Models!$C$66+Models!$E$66*Models!$B$4+Models!$F$66*Models!$B$5)))</f>
        <v>99.999005227126432</v>
      </c>
      <c r="AS58" s="244">
        <f>Models!$B$30*Models!$I$30+(200-Models!$B$30*Models!$I$30)/(1+EXP(Models!$C$30*B58*(Models!$B$4*Models!$F$30+Models!$B$5+Models!$I$30*Models!$G$30)))</f>
        <v>68.655227739941509</v>
      </c>
      <c r="AT58" s="244">
        <f>100*EXP(-EXP(Models!$D$67*(ChartData!B58-Models!$C$67+Models!$E$67*Models!$B$4+Models!$F$67*Models!$B$5)))</f>
        <v>99.99014361957353</v>
      </c>
    </row>
    <row r="59" spans="1:46" x14ac:dyDescent="0.2">
      <c r="A59" s="254" t="s">
        <v>383</v>
      </c>
      <c r="B59">
        <v>1950</v>
      </c>
      <c r="C59">
        <f>1-'Front Page'!$C$30</f>
        <v>0.99630303030303036</v>
      </c>
      <c r="D59" s="45">
        <f t="shared" si="0"/>
        <v>69.634635056598341</v>
      </c>
      <c r="E59" s="45">
        <f t="shared" si="1"/>
        <v>99.999266538029303</v>
      </c>
      <c r="F59" s="36">
        <f>Equations!$E$4/(1+EXP(Equations!$F$4*ChartData!B59*(Equations!$G$4*Equations!$C$4+Equations!$D$4)))</f>
        <v>81.588233881918015</v>
      </c>
      <c r="G59" s="36">
        <f>Equations!$E$7*EXP(-EXP(-Equations!$F$7*(ChartData!B59-Equations!$G$7+Equations!$H$7*Equations!$C$7+Equations!$I$7*Equations!$D$7)))</f>
        <v>99.953069787490904</v>
      </c>
      <c r="H59" s="55">
        <f>Models!$B$13+Models!$C$13*EXP(Models!$D$13*ChartData!B59+(Models!$E$13*ChartData!B59*Models!$E$3))</f>
        <v>58.010186647208137</v>
      </c>
      <c r="I59" s="55">
        <f>Models!$B$50*EXP(-EXP(Models!$D$50*(ChartData!B59+Models!$C$50-(Models!$E$50*Models!$B$5))))</f>
        <v>99.417966088571191</v>
      </c>
      <c r="J59" s="57">
        <f>Models!$B$12/(1+EXP(Models!$D$12*(ChartData!B59-Models!$C$12+Models!$E$12*ChartData!B59*Models!$B$5)))</f>
        <v>2.0296181754677319E-23</v>
      </c>
      <c r="K59" s="61">
        <f>Models!$B$49*EXP(-EXP(Models!$D$49*(ChartData!B59-Models!$C$49+(Models!$E$49*ChartData!B59*Models!$B$5))))</f>
        <v>99.999448248377817</v>
      </c>
      <c r="L59" s="62">
        <f>Models!$B$15/(1+EXP(Models!$D$15*(ChartData!B59*(1+Models!$D$15*Models!$B$5)-Models!$C$15)))</f>
        <v>2.3040448066480015</v>
      </c>
      <c r="M59" s="63">
        <f>Models!$B$52*EXP(-EXP(Models!$D$52*(ChartData!B59*(1+Models!$D$52*Models!$B$5)-Models!$C$52)))</f>
        <v>99.999847097784155</v>
      </c>
      <c r="N59" s="53">
        <f>Models!$B$15/(1+EXP(Models!$D$15*(ChartData!B59-Models!$D$15+Models!$E$15*ChartData!B59*Models!$B$5)))</f>
        <v>1.3112204389011928</v>
      </c>
      <c r="O59" s="53">
        <f>Models!$B$52*EXP(-EXP(Models!$D$52*(ChartData!B59-Models!$C$52+Models!$E$52*ChartData!B59*Models!$B$5)))</f>
        <v>99.999967779535581</v>
      </c>
      <c r="P59" s="172">
        <f>Models!$B$16*Models!$I$16+(100-Models!$B$16*Models!$I$16)/(1+EXP(Models!$C$16*(ChartData!B59-Models!$E$16+Models!$B$4*Models!$F$16+Models!$B$4*Models!$G$16*Models!$I$16+Models!$B$5*Models!$H$16)))</f>
        <v>47.766559469171646</v>
      </c>
      <c r="Q59" s="172">
        <f>Models!$B$53*EXP(-EXP(Models!$D$53*(ChartData!B59+Models!$C$53+Models!$B$5*Models!$E$53+Models!$B$4*Models!$F$53)))</f>
        <v>99.998016862111626</v>
      </c>
      <c r="R59" s="136">
        <f>Models!$B$17*Models!$I$17+(100-Models!$B$17*Models!$I$17)/(1+EXP(Models!$C$17*(ChartData!B59-Models!$E$17+Models!$B$4*Models!$F$17+Models!$B$4*Models!$G$17*Models!$I$17+Models!$B$5*Models!$H$17)))</f>
        <v>72.920195714068967</v>
      </c>
      <c r="S59" s="136">
        <f>Models!$B$54*EXP(-EXP(Models!$D$54*(ChartData!B59+Models!$C$54+Models!$B$5*Models!$E$54+Models!$B$4*Models!$F$54)))</f>
        <v>99.913125579153174</v>
      </c>
      <c r="T59" s="180">
        <f>Models!$B$18*Models!$I$18+(100-Models!$B$18*Models!$I$18)/(1+EXP(Models!$C$18*(ChartData!B59-Models!$E$18+Models!$B$4*Models!$F$18+Models!$B$4*Models!$G$18*Models!$I$18+Models!$B$5*Models!$H$18)))</f>
        <v>36.298591709135195</v>
      </c>
      <c r="U59" s="180">
        <f>Models!$B$55*EXP(-EXP(Models!$D$55*(ChartData!B59+Models!$C$55+Models!$B$5*Models!$E$55+Models!$B$4*Models!$F$55)))</f>
        <v>99.999266688453446</v>
      </c>
      <c r="V59" s="36">
        <f>Models!$B$19*Models!$I$19+(100-Models!$B$19*Models!$I$19)/(1+EXP(Models!$C$19*(ChartData!$B59-Models!$E$19+Models!$B$5*ChartData!$B59*Models!$F$19+Models!$B$4*Models!$G$19)))</f>
        <v>79.321167576484058</v>
      </c>
      <c r="W59" s="36">
        <f>Models!$B$56*EXP(-EXP(Models!$D$56*(ChartData!B59+Models!$C$56+Models!$B$5*Models!$E$56+Models!$B$4*Models!$F$56)))</f>
        <v>99.853188814781191</v>
      </c>
      <c r="X59" s="158">
        <f>Models!$B$20*Models!$I$20+(100-Models!$B$20*Models!$I$20)/(1+EXP(Models!$C$20*(ChartData!$B59-Models!$E$20+Models!$B$5*ChartData!$B59*Models!$F$20+Models!$B$4*Models!$G$20)))</f>
        <v>68.091042232454285</v>
      </c>
      <c r="Y59" s="158">
        <f>Models!$B$57*EXP(-EXP(Models!$D$57*(ChartData!B59+Models!$C$57+Models!$B$5*Models!$E$57+Models!$B$4*Models!$F$57)))</f>
        <v>99.990955082690533</v>
      </c>
      <c r="Z59" s="165">
        <f>Models!$B$21*Models!$I$21+(100-Models!$B$21*Models!$I$21)/(1+EXP(Models!$C$21*(ChartData!$B59-Models!$E$21+Models!$B$5*ChartData!$B59*Models!$F$21+Models!$B$4*Models!$G$21)))</f>
        <v>69.246548629163613</v>
      </c>
      <c r="AA59" s="165">
        <f>Models!$B$58*EXP(-EXP(Models!$D$58*(ChartData!B59+Models!$C$58+Models!$B$5*Models!$E$58+Models!$B$4*Models!$F$58)))</f>
        <v>99.994249041757811</v>
      </c>
      <c r="AB59" s="146">
        <f>200/(1+EXP(Models!$D$22*((Models!$E$22*Models!$B$4+Models!$B$5)*ChartData!B59)))</f>
        <v>86.47406412874615</v>
      </c>
      <c r="AC59" s="146">
        <f>100*EXP(-EXP(Models!$D$59*(ChartData!B59-Models!$C$59+Models!$E$59*Models!$B$4+Models!$F$59*Models!$B$5)))</f>
        <v>99.078327835696811</v>
      </c>
      <c r="AD59" s="149">
        <f>200/(1+EXP(Models!$D$23*((Models!$E$23*Models!$B$4+Models!$B$5)*ChartData!B59)))</f>
        <v>80.49543460904772</v>
      </c>
      <c r="AE59" s="149">
        <f>100*EXP(-EXP(Models!$D$60*(ChartData!B59-Models!$C$60+Models!$E$60*Models!$B$4+Models!$F$60*Models!$B$5)))</f>
        <v>99.852085902231366</v>
      </c>
      <c r="AF59" s="153">
        <f>200/(1+EXP(Models!$D$24*((Models!$E$24*Models!$B$4+Models!$B$5)*ChartData!B59)))</f>
        <v>78.611509346035461</v>
      </c>
      <c r="AG59" s="153">
        <f>100*EXP(-EXP(Models!$D$61*(ChartData!B59-Models!$C$61+Models!$E$61*Models!$B$4+Models!$F$61*Models!$B$5)))</f>
        <v>99.902990885081195</v>
      </c>
      <c r="AH59" s="266">
        <f>IF('Front Page'!$C$31&gt;0,1-'Front Page'!$C$31,"")</f>
        <v>0.995</v>
      </c>
      <c r="AI59" s="214">
        <f>Models!$B$25*Models!$I$25+(200-Models!$B$25*Models!$I$25)/(1+EXP(Models!$C$25*B59*(Models!$B$4*Models!$F$25+Models!$B$5+Models!$I$25*Models!$G$25)))</f>
        <v>81.680428364954722</v>
      </c>
      <c r="AJ59" s="214">
        <f>100*EXP(-EXP(Models!$D$62*(ChartData!B59-Models!$C$62+Models!$E$62*Models!$B$4+Models!$F$62*Models!$B$5)))</f>
        <v>99.853187197739629</v>
      </c>
      <c r="AK59" s="220">
        <f>Models!$B$26*Models!$I$26+(200-Models!$B$26*Models!$I$26)/(1+EXP(Models!$C$26*B59*(Models!$B$4*Models!$F$26+Models!$B$5+Models!$I$26*Models!$G$26)))</f>
        <v>74.34181354972479</v>
      </c>
      <c r="AL59" s="220">
        <f>100*EXP(-EXP(Models!$D$63*(ChartData!B59-Models!$C$63+Models!$E$63*Models!$B$4+Models!$F$63*Models!$B$5)))</f>
        <v>99.990953260075017</v>
      </c>
      <c r="AM59" s="226">
        <f>Models!$B$27*Models!$I$27+(200-Models!$B$27*Models!$I$27)/(1+EXP(Models!$C$27*B59*(Models!$B$4*Models!$F$27+Models!$B$5+Models!$I$27*Models!$G$27)))</f>
        <v>45.249160412815819</v>
      </c>
      <c r="AN59" s="226">
        <f>100*EXP(-EXP(Models!$D$64*(ChartData!B59-Models!$C$64+Models!$E$64*Models!$B$4+Models!$F$64*Models!$B$5)))</f>
        <v>99.994248945771034</v>
      </c>
      <c r="AO59" s="232">
        <f>Models!$B$28*Models!$I$28+(200-Models!$B$28*Models!$I$28)/(1+EXP(Models!$C$28*B59*(Models!$B$4*Models!$F$28+Models!$B$5+Models!$I$28*Models!$G$28)))</f>
        <v>78.959825002388484</v>
      </c>
      <c r="AP59" s="232">
        <f>100*EXP(-EXP(Models!$D$65*(ChartData!B59-Models!$C$65+Models!$E$65*Models!$B$4+Models!$F$65*Models!$B$5)))</f>
        <v>99.913141896056885</v>
      </c>
      <c r="AQ59" s="238">
        <f>Models!$B$29*Models!$I$29+(200-Models!$B$29*Models!$I$29)/(1+EXP(Models!$C$29*B59*(Models!$B$4*Models!$F$29+Models!$B$5+Models!$I$29*Models!$G$29)))</f>
        <v>69.634635056598341</v>
      </c>
      <c r="AR59" s="238">
        <f>100*EXP(-EXP(Models!$D$66*(ChartData!B59-Models!$C$66+Models!$E$66*Models!$B$4+Models!$F$66*Models!$B$5)))</f>
        <v>99.999266538029303</v>
      </c>
      <c r="AS59" s="244">
        <f>Models!$B$30*Models!$I$30+(200-Models!$B$30*Models!$I$30)/(1+EXP(Models!$C$30*B59*(Models!$B$4*Models!$F$30+Models!$B$5+Models!$I$30*Models!$G$30)))</f>
        <v>67.80148237919623</v>
      </c>
      <c r="AT59" s="244">
        <f>100*EXP(-EXP(Models!$D$67*(ChartData!B59-Models!$C$67+Models!$E$67*Models!$B$4+Models!$F$67*Models!$B$5)))</f>
        <v>99.99230219827227</v>
      </c>
    </row>
    <row r="60" spans="1:46" x14ac:dyDescent="0.2">
      <c r="B60">
        <v>2000</v>
      </c>
      <c r="C60">
        <f>1-'Front Page'!$C$30</f>
        <v>0.99630303030303036</v>
      </c>
      <c r="D60" s="45">
        <f t="shared" si="0"/>
        <v>68.906609056847998</v>
      </c>
      <c r="E60" s="45">
        <f t="shared" si="1"/>
        <v>99.999459206928407</v>
      </c>
      <c r="F60" s="36">
        <f>Equations!$E$4/(1+EXP(Equations!$F$4*ChartData!B60*(Equations!$G$4*Equations!$C$4+Equations!$D$4)))</f>
        <v>81.1272886729286</v>
      </c>
      <c r="G60" s="36">
        <f>Equations!$E$7*EXP(-EXP(-Equations!$F$7*(ChartData!B60-Equations!$G$7+Equations!$H$7*Equations!$C$7+Equations!$I$7*Equations!$D$7)))</f>
        <v>99.960316999097074</v>
      </c>
      <c r="H60" s="55">
        <f>Models!$B$13+Models!$C$13*EXP(Models!$D$13*ChartData!B60+(Models!$E$13*ChartData!B60*Models!$E$3))</f>
        <v>57.285621951109853</v>
      </c>
      <c r="I60" s="55">
        <f>Models!$B$50*EXP(-EXP(Models!$D$50*(ChartData!B60+Models!$C$50-(Models!$E$50*Models!$B$5))))</f>
        <v>99.480253295594721</v>
      </c>
      <c r="J60" s="57">
        <f>Models!$B$12/(1+EXP(Models!$D$12*(ChartData!B60-Models!$C$12+Models!$E$12*ChartData!B60*Models!$B$5)))</f>
        <v>3.2603442157363919E-24</v>
      </c>
      <c r="K60" s="61">
        <f>Models!$B$49*EXP(-EXP(Models!$D$49*(ChartData!B60-Models!$C$49+(Models!$E$49*ChartData!B60*Models!$B$5))))</f>
        <v>99.99961142787555</v>
      </c>
      <c r="L60" s="62">
        <f>Models!$B$15/(1+EXP(Models!$D$15*(ChartData!B60*(1+Models!$D$15*Models!$B$5)-Models!$C$15)))</f>
        <v>2.0564085613904584</v>
      </c>
      <c r="M60" s="63">
        <f>Models!$B$52*EXP(-EXP(Models!$D$52*(ChartData!B60*(1+Models!$D$52*Models!$B$5)-Models!$C$52)))</f>
        <v>99.999895760478509</v>
      </c>
      <c r="N60" s="53">
        <f>Models!$B$15/(1+EXP(Models!$D$15*(ChartData!B60-Models!$D$15+Models!$E$15*ChartData!B60*Models!$B$5)))</f>
        <v>1.1537442050062685</v>
      </c>
      <c r="O60" s="53">
        <f>Models!$B$52*EXP(-EXP(Models!$D$52*(ChartData!B60-Models!$C$52+Models!$E$52*ChartData!B60*Models!$B$5)))</f>
        <v>99.999978893813378</v>
      </c>
      <c r="P60" s="172">
        <f>Models!$B$16*Models!$I$16+(100-Models!$B$16*Models!$I$16)/(1+EXP(Models!$C$16*(ChartData!B60-Models!$E$16+Models!$B$4*Models!$F$16+Models!$B$4*Models!$G$16*Models!$I$16+Models!$B$5*Models!$H$16)))</f>
        <v>44.918922070217938</v>
      </c>
      <c r="Q60" s="172">
        <f>Models!$B$53*EXP(-EXP(Models!$D$53*(ChartData!B60+Models!$C$53+Models!$B$5*Models!$E$53+Models!$B$4*Models!$F$53)))</f>
        <v>99.998501787385877</v>
      </c>
      <c r="R60" s="136">
        <f>Models!$B$17*Models!$I$17+(100-Models!$B$17*Models!$I$17)/(1+EXP(Models!$C$17*(ChartData!B60-Models!$E$17+Models!$B$4*Models!$F$17+Models!$B$4*Models!$G$17*Models!$I$17+Models!$B$5*Models!$H$17)))</f>
        <v>71.089862076319392</v>
      </c>
      <c r="S60" s="136">
        <f>Models!$B$54*EXP(-EXP(Models!$D$54*(ChartData!B60+Models!$C$54+Models!$B$5*Models!$E$54+Models!$B$4*Models!$F$54)))</f>
        <v>99.92793937667075</v>
      </c>
      <c r="T60" s="180">
        <f>Models!$B$18*Models!$I$18+(100-Models!$B$18*Models!$I$18)/(1+EXP(Models!$C$18*(ChartData!B60-Models!$E$18+Models!$B$4*Models!$F$18+Models!$B$4*Models!$G$18*Models!$I$18+Models!$B$5*Models!$H$18)))</f>
        <v>33.728907972558744</v>
      </c>
      <c r="U60" s="180">
        <f>Models!$B$55*EXP(-EXP(Models!$D$55*(ChartData!B60+Models!$C$55+Models!$B$5*Models!$E$55+Models!$B$4*Models!$F$55)))</f>
        <v>99.999459320542016</v>
      </c>
      <c r="V60" s="36">
        <f>Models!$B$19*Models!$I$19+(100-Models!$B$19*Models!$I$19)/(1+EXP(Models!$C$19*(ChartData!$B60-Models!$E$19+Models!$B$5*ChartData!$B60*Models!$F$19+Models!$B$4*Models!$G$19)))</f>
        <v>78.805472965004469</v>
      </c>
      <c r="W60" s="36">
        <f>Models!$B$56*EXP(-EXP(Models!$D$56*(ChartData!B60+Models!$C$56+Models!$B$5*Models!$E$56+Models!$B$4*Models!$F$56)))</f>
        <v>99.872124505181219</v>
      </c>
      <c r="X60" s="158">
        <f>Models!$B$20*Models!$I$20+(100-Models!$B$20*Models!$I$20)/(1+EXP(Models!$C$20*(ChartData!$B60-Models!$E$20+Models!$B$5*ChartData!$B60*Models!$F$20+Models!$B$4*Models!$G$20)))</f>
        <v>67.084773193826535</v>
      </c>
      <c r="Y60" s="158">
        <f>Models!$B$57*EXP(-EXP(Models!$D$57*(ChartData!B60+Models!$C$57+Models!$B$5*Models!$E$57+Models!$B$4*Models!$F$57)))</f>
        <v>99.99266130151814</v>
      </c>
      <c r="Z60" s="165">
        <f>Models!$B$21*Models!$I$21+(100-Models!$B$21*Models!$I$21)/(1+EXP(Models!$C$21*(ChartData!$B60-Models!$E$21+Models!$B$5*ChartData!$B60*Models!$F$21+Models!$B$4*Models!$G$21)))</f>
        <v>68.235952492634198</v>
      </c>
      <c r="AA60" s="165">
        <f>Models!$B$58*EXP(-EXP(Models!$D$58*(ChartData!B60+Models!$C$58+Models!$B$5*Models!$E$58+Models!$B$4*Models!$F$58)))</f>
        <v>99.995387697521949</v>
      </c>
      <c r="AB60" s="146">
        <f>200/(1+EXP(Models!$D$22*((Models!$E$22*Models!$B$4+Models!$B$5)*ChartData!B60)))</f>
        <v>86.131653923248393</v>
      </c>
      <c r="AC60" s="146">
        <f>100*EXP(-EXP(Models!$D$59*(ChartData!B60-Models!$C$59+Models!$E$59*Models!$B$4+Models!$F$59*Models!$B$5)))</f>
        <v>99.16296081887586</v>
      </c>
      <c r="AD60" s="149">
        <f>200/(1+EXP(Models!$D$23*((Models!$E$23*Models!$B$4+Models!$B$5)*ChartData!B60)))</f>
        <v>80.008584795505257</v>
      </c>
      <c r="AE60" s="149">
        <f>100*EXP(-EXP(Models!$D$60*(ChartData!B60-Models!$C$60+Models!$E$60*Models!$B$4+Models!$F$60*Models!$B$5)))</f>
        <v>99.871842422479858</v>
      </c>
      <c r="AF60" s="153">
        <f>200/(1+EXP(Models!$D$24*((Models!$E$24*Models!$B$4+Models!$B$5)*ChartData!B60)))</f>
        <v>78.080606328820721</v>
      </c>
      <c r="AG60" s="153">
        <f>100*EXP(-EXP(Models!$D$61*(ChartData!B60-Models!$C$61+Models!$E$61*Models!$B$4+Models!$F$61*Models!$B$5)))</f>
        <v>99.916850574797721</v>
      </c>
      <c r="AH60" s="266">
        <f>IF('Front Page'!$C$31&gt;0,1-'Front Page'!$C$31,"")</f>
        <v>0.995</v>
      </c>
      <c r="AI60" s="214">
        <f>Models!$B$25*Models!$I$25+(200-Models!$B$25*Models!$I$25)/(1+EXP(Models!$C$25*B60*(Models!$B$4*Models!$F$25+Models!$B$5+Models!$I$25*Models!$G$25)))</f>
        <v>81.221679755333682</v>
      </c>
      <c r="AJ60" s="214">
        <f>100*EXP(-EXP(Models!$D$62*(ChartData!B60-Models!$C$62+Models!$E$62*Models!$B$4+Models!$F$62*Models!$B$5)))</f>
        <v>99.872123096571926</v>
      </c>
      <c r="AK60" s="220">
        <f>Models!$B$26*Models!$I$26+(200-Models!$B$26*Models!$I$26)/(1+EXP(Models!$C$26*B60*(Models!$B$4*Models!$F$26+Models!$B$5+Models!$I$26*Models!$G$26)))</f>
        <v>73.714270674943151</v>
      </c>
      <c r="AL60" s="220">
        <f>100*EXP(-EXP(Models!$D$63*(ChartData!B60-Models!$C$63+Models!$E$63*Models!$B$4+Models!$F$63*Models!$B$5)))</f>
        <v>99.992659786005675</v>
      </c>
      <c r="AM60" s="226">
        <f>Models!$B$27*Models!$I$27+(200-Models!$B$27*Models!$I$27)/(1+EXP(Models!$C$27*B60*(Models!$B$4*Models!$F$27+Models!$B$5+Models!$I$27*Models!$G$27)))</f>
        <v>44.209808708219029</v>
      </c>
      <c r="AN60" s="226">
        <f>100*EXP(-EXP(Models!$D$64*(ChartData!B60-Models!$C$64+Models!$E$64*Models!$B$4+Models!$F$64*Models!$B$5)))</f>
        <v>99.995387620539546</v>
      </c>
      <c r="AO60" s="232">
        <f>Models!$B$28*Models!$I$28+(200-Models!$B$28*Models!$I$28)/(1+EXP(Models!$C$28*B60*(Models!$B$4*Models!$F$28+Models!$B$5+Models!$I$28*Models!$G$28)))</f>
        <v>78.437006522301658</v>
      </c>
      <c r="AP60" s="232">
        <f>100*EXP(-EXP(Models!$D$65*(ChartData!B60-Models!$C$65+Models!$E$65*Models!$B$4+Models!$F$65*Models!$B$5)))</f>
        <v>99.927952912224711</v>
      </c>
      <c r="AQ60" s="238">
        <f>Models!$B$29*Models!$I$29+(200-Models!$B$29*Models!$I$29)/(1+EXP(Models!$C$29*B60*(Models!$B$4*Models!$F$29+Models!$B$5+Models!$I$29*Models!$G$29)))</f>
        <v>68.906609056847998</v>
      </c>
      <c r="AR60" s="238">
        <f>100*EXP(-EXP(Models!$D$66*(ChartData!B60-Models!$C$66+Models!$E$66*Models!$B$4+Models!$F$66*Models!$B$5)))</f>
        <v>99.999459206928407</v>
      </c>
      <c r="AS60" s="244">
        <f>Models!$B$30*Models!$I$30+(200-Models!$B$30*Models!$I$30)/(1+EXP(Models!$C$30*B60*(Models!$B$4*Models!$F$30+Models!$B$5+Models!$I$30*Models!$G$30)))</f>
        <v>66.954695873057801</v>
      </c>
      <c r="AT60" s="244">
        <f>100*EXP(-EXP(Models!$D$67*(ChartData!B60-Models!$C$67+Models!$E$67*Models!$B$4+Models!$F$67*Models!$B$5)))</f>
        <v>99.993988055574249</v>
      </c>
    </row>
    <row r="61" spans="1:46" x14ac:dyDescent="0.2">
      <c r="A61" s="259" t="s">
        <v>412</v>
      </c>
      <c r="B61">
        <v>2050</v>
      </c>
      <c r="C61">
        <f>1-'Front Page'!$C$30</f>
        <v>0.99630303030303036</v>
      </c>
      <c r="D61" s="45">
        <f t="shared" si="0"/>
        <v>68.182213661896768</v>
      </c>
      <c r="E61" s="45">
        <f t="shared" si="1"/>
        <v>99.99960126484541</v>
      </c>
      <c r="F61" s="36">
        <f>Equations!$E$4/(1+EXP(Equations!$F$4*ChartData!B61*(Equations!$G$4*Equations!$C$4+Equations!$D$4)))</f>
        <v>80.667173564985688</v>
      </c>
      <c r="G61" s="36">
        <f>Equations!$E$7*EXP(-EXP(-Equations!$F$7*(ChartData!B61-Equations!$G$7+Equations!$H$7*Equations!$C$7+Equations!$I$7*Equations!$D$7)))</f>
        <v>99.966445245818747</v>
      </c>
      <c r="H61" s="55">
        <f>Models!$B$13+Models!$C$13*EXP(Models!$D$13*ChartData!B61+(Models!$E$13*ChartData!B61*Models!$E$3))</f>
        <v>56.574480714315612</v>
      </c>
      <c r="I61" s="55">
        <f>Models!$B$50*EXP(-EXP(Models!$D$50*(ChartData!B61+Models!$C$50-(Models!$E$50*Models!$B$5))))</f>
        <v>99.535890313991644</v>
      </c>
      <c r="J61" s="57">
        <f>Models!$B$12/(1+EXP(Models!$D$12*(ChartData!B61-Models!$C$12+Models!$E$12*ChartData!B61*Models!$B$5)))</f>
        <v>5.2373616543102086E-25</v>
      </c>
      <c r="K61" s="61">
        <f>Models!$B$49*EXP(-EXP(Models!$D$49*(ChartData!B61-Models!$C$49+(Models!$E$49*ChartData!B61*Models!$B$5))))</f>
        <v>99.99972634741178</v>
      </c>
      <c r="L61" s="62">
        <f>Models!$B$15/(1+EXP(Models!$D$15*(ChartData!B61*(1+Models!$D$15*Models!$B$5)-Models!$C$15)))</f>
        <v>1.8351409282785121</v>
      </c>
      <c r="M61" s="63">
        <f>Models!$B$52*EXP(-EXP(Models!$D$52*(ChartData!B61*(1+Models!$D$52*Models!$B$5)-Models!$C$52)))</f>
        <v>99.999928935778087</v>
      </c>
      <c r="N61" s="53">
        <f>Models!$B$15/(1+EXP(Models!$D$15*(ChartData!B61-Models!$D$15+Models!$E$15*ChartData!B61*Models!$B$5)))</f>
        <v>1.0150840822179477</v>
      </c>
      <c r="O61" s="53">
        <f>Models!$B$52*EXP(-EXP(Models!$D$52*(ChartData!B61-Models!$C$52+Models!$E$52*ChartData!B61*Models!$B$5)))</f>
        <v>99.999986174280437</v>
      </c>
      <c r="P61" s="172">
        <f>Models!$B$16*Models!$I$16+(100-Models!$B$16*Models!$I$16)/(1+EXP(Models!$C$16*(ChartData!B61-Models!$E$16+Models!$B$4*Models!$F$16+Models!$B$4*Models!$G$16*Models!$I$16+Models!$B$5*Models!$H$16)))</f>
        <v>42.104205701802002</v>
      </c>
      <c r="Q61" s="172">
        <f>Models!$B$53*EXP(-EXP(Models!$D$53*(ChartData!B61+Models!$C$53+Models!$B$5*Models!$E$53+Models!$B$4*Models!$F$53)))</f>
        <v>99.998868137349675</v>
      </c>
      <c r="R61" s="136">
        <f>Models!$B$17*Models!$I$17+(100-Models!$B$17*Models!$I$17)/(1+EXP(Models!$C$17*(ChartData!B61-Models!$E$17+Models!$B$4*Models!$F$17+Models!$B$4*Models!$G$17*Models!$I$17+Models!$B$5*Models!$H$17)))</f>
        <v>69.188089542983619</v>
      </c>
      <c r="S61" s="136">
        <f>Models!$B$54*EXP(-EXP(Models!$D$54*(ChartData!B61+Models!$C$54+Models!$B$5*Models!$E$54+Models!$B$4*Models!$F$54)))</f>
        <v>99.940227885963111</v>
      </c>
      <c r="T61" s="180">
        <f>Models!$B$18*Models!$I$18+(100-Models!$B$18*Models!$I$18)/(1+EXP(Models!$C$18*(ChartData!B61-Models!$E$18+Models!$B$4*Models!$F$18+Models!$B$4*Models!$G$18*Models!$I$18+Models!$B$5*Models!$H$18)))</f>
        <v>31.308862452801279</v>
      </c>
      <c r="U61" s="180">
        <f>Models!$B$55*EXP(-EXP(Models!$D$55*(ChartData!B61+Models!$C$55+Models!$B$5*Models!$E$55+Models!$B$4*Models!$F$55)))</f>
        <v>99.999601350607804</v>
      </c>
      <c r="V61" s="36">
        <f>Models!$B$19*Models!$I$19+(100-Models!$B$19*Models!$I$19)/(1+EXP(Models!$C$19*(ChartData!$B61-Models!$E$19+Models!$B$5*ChartData!$B61*Models!$F$19+Models!$B$4*Models!$G$19)))</f>
        <v>78.280439261100071</v>
      </c>
      <c r="W61" s="36">
        <f>Models!$B$56*EXP(-EXP(Models!$D$56*(ChartData!B61+Models!$C$56+Models!$B$5*Models!$E$56+Models!$B$4*Models!$F$56)))</f>
        <v>99.88861923463773</v>
      </c>
      <c r="X61" s="158">
        <f>Models!$B$20*Models!$I$20+(100-Models!$B$20*Models!$I$20)/(1+EXP(Models!$C$20*(ChartData!$B61-Models!$E$20+Models!$B$5*ChartData!$B61*Models!$F$20+Models!$B$4*Models!$G$20)))</f>
        <v>66.062587108863269</v>
      </c>
      <c r="Y61" s="158">
        <f>Models!$B$57*EXP(-EXP(Models!$D$57*(ChartData!B61+Models!$C$57+Models!$B$5*Models!$E$57+Models!$B$4*Models!$F$57)))</f>
        <v>99.994045671520695</v>
      </c>
      <c r="Z61" s="165">
        <f>Models!$B$21*Models!$I$21+(100-Models!$B$21*Models!$I$21)/(1+EXP(Models!$C$21*(ChartData!$B61-Models!$E$21+Models!$B$5*ChartData!$B61*Models!$F$21+Models!$B$4*Models!$G$21)))</f>
        <v>67.211499919327565</v>
      </c>
      <c r="AA61" s="165">
        <f>Models!$B$58*EXP(-EXP(Models!$D$58*(ChartData!B61+Models!$C$58+Models!$B$5*Models!$E$58+Models!$B$4*Models!$F$58)))</f>
        <v>99.996300910340196</v>
      </c>
      <c r="AB61" s="146">
        <f>200/(1+EXP(Models!$D$22*((Models!$E$22*Models!$B$4+Models!$B$5)*ChartData!B61)))</f>
        <v>85.789574972351431</v>
      </c>
      <c r="AC61" s="146">
        <f>100*EXP(-EXP(Models!$D$59*(ChartData!B61-Models!$C$59+Models!$E$59*Models!$B$4+Models!$F$59*Models!$B$5)))</f>
        <v>99.239852179779589</v>
      </c>
      <c r="AD61" s="149">
        <f>200/(1+EXP(Models!$D$23*((Models!$E$23*Models!$B$4+Models!$B$5)*ChartData!B61)))</f>
        <v>79.522720120035885</v>
      </c>
      <c r="AE61" s="149">
        <f>100*EXP(-EXP(Models!$D$60*(ChartData!B61-Models!$C$60+Models!$E$60*Models!$B$4+Models!$F$60*Models!$B$5)))</f>
        <v>99.88896158057895</v>
      </c>
      <c r="AF61" s="153">
        <f>200/(1+EXP(Models!$D$24*((Models!$E$24*Models!$B$4+Models!$B$5)*ChartData!B61)))</f>
        <v>77.550998140689003</v>
      </c>
      <c r="AG61" s="153">
        <f>100*EXP(-EXP(Models!$D$61*(ChartData!B61-Models!$C$61+Models!$E$61*Models!$B$4+Models!$F$61*Models!$B$5)))</f>
        <v>99.928730837354905</v>
      </c>
      <c r="AH61" s="266">
        <f>IF('Front Page'!$C$31&gt;0,1-'Front Page'!$C$31,"")</f>
        <v>0.995</v>
      </c>
      <c r="AI61" s="214">
        <f>Models!$B$25*Models!$I$25+(200-Models!$B$25*Models!$I$25)/(1+EXP(Models!$C$25*B61*(Models!$B$4*Models!$F$25+Models!$B$5+Models!$I$25*Models!$G$25)))</f>
        <v>80.763748955316814</v>
      </c>
      <c r="AJ61" s="214">
        <f>100*EXP(-EXP(Models!$D$62*(ChartData!B61-Models!$C$62+Models!$E$62*Models!$B$4+Models!$F$62*Models!$B$5)))</f>
        <v>99.888618007624373</v>
      </c>
      <c r="AK61" s="220">
        <f>Models!$B$26*Models!$I$26+(200-Models!$B$26*Models!$I$26)/(1+EXP(Models!$C$26*B61*(Models!$B$4*Models!$F$26+Models!$B$5+Models!$I$26*Models!$G$26)))</f>
        <v>73.08894392686139</v>
      </c>
      <c r="AL61" s="220">
        <f>100*EXP(-EXP(Models!$D$63*(ChartData!B61-Models!$C$63+Models!$E$63*Models!$B$4+Models!$F$63*Models!$B$5)))</f>
        <v>99.994044412108579</v>
      </c>
      <c r="AM61" s="226">
        <f>Models!$B$27*Models!$I$27+(200-Models!$B$27*Models!$I$27)/(1+EXP(Models!$C$27*B61*(Models!$B$4*Models!$F$27+Models!$B$5+Models!$I$27*Models!$G$27)))</f>
        <v>43.200361311520354</v>
      </c>
      <c r="AN61" s="226">
        <f>100*EXP(-EXP(Models!$D$64*(ChartData!B61-Models!$C$64+Models!$E$64*Models!$B$4+Models!$F$64*Models!$B$5)))</f>
        <v>99.996300848599645</v>
      </c>
      <c r="AO61" s="232">
        <f>Models!$B$28*Models!$I$28+(200-Models!$B$28*Models!$I$28)/(1+EXP(Models!$C$28*B61*(Models!$B$4*Models!$F$28+Models!$B$5+Models!$I$28*Models!$G$28)))</f>
        <v>77.915421410471964</v>
      </c>
      <c r="AP61" s="232">
        <f>100*EXP(-EXP(Models!$D$65*(ChartData!B61-Models!$C$65+Models!$E$65*Models!$B$4+Models!$F$65*Models!$B$5)))</f>
        <v>99.940239113987218</v>
      </c>
      <c r="AQ61" s="238">
        <f>Models!$B$29*Models!$I$29+(200-Models!$B$29*Models!$I$29)/(1+EXP(Models!$C$29*B61*(Models!$B$4*Models!$F$29+Models!$B$5+Models!$I$29*Models!$G$29)))</f>
        <v>68.182213661896768</v>
      </c>
      <c r="AR61" s="238">
        <f>100*EXP(-EXP(Models!$D$66*(ChartData!B61-Models!$C$66+Models!$E$66*Models!$B$4+Models!$F$66*Models!$B$5)))</f>
        <v>99.99960126484541</v>
      </c>
      <c r="AS61" s="244">
        <f>Models!$B$30*Models!$I$30+(200-Models!$B$30*Models!$I$30)/(1+EXP(Models!$C$30*B61*(Models!$B$4*Models!$F$30+Models!$B$5+Models!$I$30*Models!$G$30)))</f>
        <v>66.114968750158752</v>
      </c>
      <c r="AT61" s="244">
        <f>100*EXP(-EXP(Models!$D$67*(ChartData!B61-Models!$C$67+Models!$E$67*Models!$B$4+Models!$F$67*Models!$B$5)))</f>
        <v>99.995304710314869</v>
      </c>
    </row>
    <row r="62" spans="1:46" x14ac:dyDescent="0.2">
      <c r="A62" s="263" t="str">
        <f>IF(E69&lt;D69,"reversed","normal")</f>
        <v>normal</v>
      </c>
      <c r="B62">
        <v>2100</v>
      </c>
      <c r="C62">
        <f>1-'Front Page'!$C$30</f>
        <v>0.99630303030303036</v>
      </c>
      <c r="D62" s="45">
        <f t="shared" si="0"/>
        <v>67.461514713358511</v>
      </c>
      <c r="E62" s="45">
        <f t="shared" si="1"/>
        <v>99.999706006415039</v>
      </c>
      <c r="F62" s="36">
        <f>Equations!$E$4/(1+EXP(Equations!$F$4*ChartData!B62*(Equations!$G$4*Equations!$C$4+Equations!$D$4)))</f>
        <v>80.207907245902447</v>
      </c>
      <c r="G62" s="36">
        <f>Equations!$E$7*EXP(-EXP(-Equations!$F$7*(ChartData!B62-Equations!$G$7+Equations!$H$7*Equations!$C$7+Equations!$I$7*Equations!$D$7)))</f>
        <v>99.971627241576115</v>
      </c>
      <c r="H62" s="55">
        <f>Models!$B$13+Models!$C$13*EXP(Models!$D$13*ChartData!B62+(Models!$E$13*ChartData!B62*Models!$E$3))</f>
        <v>55.876514250599499</v>
      </c>
      <c r="I62" s="55">
        <f>Models!$B$50*EXP(-EXP(Models!$D$50*(ChartData!B62+Models!$C$50-(Models!$E$50*Models!$B$5))))</f>
        <v>99.585584000876821</v>
      </c>
      <c r="J62" s="57">
        <f>Models!$B$12/(1+EXP(Models!$D$12*(ChartData!B62-Models!$C$12+Models!$E$12*ChartData!B62*Models!$B$5)))</f>
        <v>8.413208938383075E-26</v>
      </c>
      <c r="K62" s="61">
        <f>Models!$B$49*EXP(-EXP(Models!$D$49*(ChartData!B62-Models!$C$49+(Models!$E$49*ChartData!B62*Models!$B$5))))</f>
        <v>99.999807279725943</v>
      </c>
      <c r="L62" s="62">
        <f>Models!$B$15/(1+EXP(Models!$D$15*(ChartData!B62*(1+Models!$D$15*Models!$B$5)-Models!$C$15)))</f>
        <v>1.6374845322381242</v>
      </c>
      <c r="M62" s="63">
        <f>Models!$B$52*EXP(-EXP(Models!$D$52*(ChartData!B62*(1+Models!$D$52*Models!$B$5)-Models!$C$52)))</f>
        <v>99.999951552699983</v>
      </c>
      <c r="N62" s="53">
        <f>Models!$B$15/(1+EXP(Models!$D$15*(ChartData!B62-Models!$D$15+Models!$E$15*ChartData!B62*Models!$B$5)))</f>
        <v>0.89301367077565796</v>
      </c>
      <c r="O62" s="53">
        <f>Models!$B$52*EXP(-EXP(Models!$D$52*(ChartData!B62-Models!$C$52+Models!$E$52*ChartData!B62*Models!$B$5)))</f>
        <v>99.999990943389136</v>
      </c>
      <c r="P62" s="172">
        <f>Models!$B$16*Models!$I$16+(100-Models!$B$16*Models!$I$16)/(1+EXP(Models!$C$16*(ChartData!B62-Models!$E$16+Models!$B$4*Models!$F$16+Models!$B$4*Models!$G$16*Models!$I$16+Models!$B$5*Models!$H$16)))</f>
        <v>39.339894482163643</v>
      </c>
      <c r="Q62" s="172">
        <f>Models!$B$53*EXP(-EXP(Models!$D$53*(ChartData!B62+Models!$C$53+Models!$B$5*Models!$E$53+Models!$B$4*Models!$F$53)))</f>
        <v>99.999144906087892</v>
      </c>
      <c r="R62" s="136">
        <f>Models!$B$17*Models!$I$17+(100-Models!$B$17*Models!$I$17)/(1+EXP(Models!$C$17*(ChartData!B62-Models!$E$17+Models!$B$4*Models!$F$17+Models!$B$4*Models!$G$17*Models!$I$17+Models!$B$5*Models!$H$17)))</f>
        <v>67.218901868882327</v>
      </c>
      <c r="S62" s="136">
        <f>Models!$B$54*EXP(-EXP(Models!$D$54*(ChartData!B62+Models!$C$54+Models!$B$5*Models!$E$54+Models!$B$4*Models!$F$54)))</f>
        <v>99.950421353728345</v>
      </c>
      <c r="T62" s="180">
        <f>Models!$B$18*Models!$I$18+(100-Models!$B$18*Models!$I$18)/(1+EXP(Models!$C$18*(ChartData!B62-Models!$E$18+Models!$B$4*Models!$F$18+Models!$B$4*Models!$G$18*Models!$I$18+Models!$B$5*Models!$H$18)))</f>
        <v>29.045944459610823</v>
      </c>
      <c r="U62" s="180">
        <f>Models!$B$55*EXP(-EXP(Models!$D$55*(ChartData!B62+Models!$C$55+Models!$B$5*Models!$E$55+Models!$B$4*Models!$F$55)))</f>
        <v>99.999706071118652</v>
      </c>
      <c r="V62" s="36">
        <f>Models!$B$19*Models!$I$19+(100-Models!$B$19*Models!$I$19)/(1+EXP(Models!$C$19*(ChartData!$B62-Models!$E$19+Models!$B$5*ChartData!$B62*Models!$F$19+Models!$B$4*Models!$G$19)))</f>
        <v>77.746072181823095</v>
      </c>
      <c r="W62" s="36">
        <f>Models!$B$56*EXP(-EXP(Models!$D$56*(ChartData!B62+Models!$C$56+Models!$B$5*Models!$E$56+Models!$B$4*Models!$F$56)))</f>
        <v>99.902987333475863</v>
      </c>
      <c r="X62" s="158">
        <f>Models!$B$20*Models!$I$20+(100-Models!$B$20*Models!$I$20)/(1+EXP(Models!$C$20*(ChartData!$B62-Models!$E$20+Models!$B$5*ChartData!$B62*Models!$F$20+Models!$B$4*Models!$G$20)))</f>
        <v>65.02520677780997</v>
      </c>
      <c r="Y62" s="158">
        <f>Models!$B$57*EXP(-EXP(Models!$D$57*(ChartData!B62+Models!$C$57+Models!$B$5*Models!$E$57+Models!$B$4*Models!$F$57)))</f>
        <v>99.995168900666783</v>
      </c>
      <c r="Z62" s="165">
        <f>Models!$B$21*Models!$I$21+(100-Models!$B$21*Models!$I$21)/(1+EXP(Models!$C$21*(ChartData!$B62-Models!$E$21+Models!$B$5*ChartData!$B62*Models!$F$21+Models!$B$4*Models!$G$21)))</f>
        <v>66.174233782046258</v>
      </c>
      <c r="AA62" s="165">
        <f>Models!$B$58*EXP(-EXP(Models!$D$58*(ChartData!B62+Models!$C$58+Models!$B$5*Models!$E$58+Models!$B$4*Models!$F$58)))</f>
        <v>99.997033314270851</v>
      </c>
      <c r="AB62" s="146">
        <f>200/(1+EXP(Models!$D$22*((Models!$E$22*Models!$B$4+Models!$B$5)*ChartData!B62)))</f>
        <v>85.447835114423981</v>
      </c>
      <c r="AC62" s="146">
        <f>100*EXP(-EXP(Models!$D$59*(ChartData!B62-Models!$C$59+Models!$E$59*Models!$B$4+Models!$F$59*Models!$B$5)))</f>
        <v>99.309704820479439</v>
      </c>
      <c r="AD62" s="149">
        <f>200/(1+EXP(Models!$D$23*((Models!$E$23*Models!$B$4+Models!$B$5)*ChartData!B62)))</f>
        <v>79.037862458475345</v>
      </c>
      <c r="AE62" s="149">
        <f>100*EXP(-EXP(Models!$D$60*(ChartData!B62-Models!$C$60+Models!$E$60*Models!$B$4+Models!$F$60*Models!$B$5)))</f>
        <v>99.903795080565089</v>
      </c>
      <c r="AF62" s="153">
        <f>200/(1+EXP(Models!$D$24*((Models!$E$24*Models!$B$4+Models!$B$5)*ChartData!B62)))</f>
        <v>77.022712793555485</v>
      </c>
      <c r="AG62" s="153">
        <f>100*EXP(-EXP(Models!$D$61*(ChartData!B62-Models!$C$61+Models!$E$61*Models!$B$4+Models!$F$61*Models!$B$5)))</f>
        <v>99.938914185097943</v>
      </c>
      <c r="AH62" s="266">
        <f>IF('Front Page'!$C$31&gt;0,1-'Front Page'!$C$31,"")</f>
        <v>0.995</v>
      </c>
      <c r="AI62" s="214">
        <f>Models!$B$25*Models!$I$25+(200-Models!$B$25*Models!$I$25)/(1+EXP(Models!$C$25*B62*(Models!$B$4*Models!$F$25+Models!$B$5+Models!$I$25*Models!$G$25)))</f>
        <v>80.306654396489776</v>
      </c>
      <c r="AJ62" s="214">
        <f>100*EXP(-EXP(Models!$D$62*(ChartData!B62-Models!$C$62+Models!$E$62*Models!$B$4+Models!$F$62*Models!$B$5)))</f>
        <v>99.902986264670133</v>
      </c>
      <c r="AK62" s="220">
        <f>Models!$B$26*Models!$I$26+(200-Models!$B$26*Models!$I$26)/(1+EXP(Models!$C$26*B62*(Models!$B$4*Models!$F$26+Models!$B$5+Models!$I$26*Models!$G$26)))</f>
        <v>72.465877918976503</v>
      </c>
      <c r="AL62" s="220">
        <f>100*EXP(-EXP(Models!$D$63*(ChartData!B62-Models!$C$63+Models!$E$63*Models!$B$4+Models!$F$63*Models!$B$5)))</f>
        <v>99.995167854665326</v>
      </c>
      <c r="AM62" s="226">
        <f>Models!$B$27*Models!$I$27+(200-Models!$B$27*Models!$I$27)/(1+EXP(Models!$C$27*B62*(Models!$B$4*Models!$F$27+Models!$B$5+Models!$I$27*Models!$G$27)))</f>
        <v>42.220412219456669</v>
      </c>
      <c r="AN62" s="226">
        <f>100*EXP(-EXP(Models!$D$64*(ChartData!B62-Models!$C$64+Models!$E$64*Models!$B$4+Models!$F$64*Models!$B$5)))</f>
        <v>99.997033264754478</v>
      </c>
      <c r="AO62" s="232">
        <f>Models!$B$28*Models!$I$28+(200-Models!$B$28*Models!$I$28)/(1+EXP(Models!$C$28*B62*(Models!$B$4*Models!$F$28+Models!$B$5+Models!$I$28*Models!$G$28)))</f>
        <v>77.395096484777568</v>
      </c>
      <c r="AP62" s="232">
        <f>100*EXP(-EXP(Models!$D$65*(ChartData!B62-Models!$C$65+Models!$E$65*Models!$B$4+Models!$F$65*Models!$B$5)))</f>
        <v>99.950430667412988</v>
      </c>
      <c r="AQ62" s="238">
        <f>Models!$B$29*Models!$I$29+(200-Models!$B$29*Models!$I$29)/(1+EXP(Models!$C$29*B62*(Models!$B$4*Models!$F$29+Models!$B$5+Models!$I$29*Models!$G$29)))</f>
        <v>67.461514713358511</v>
      </c>
      <c r="AR62" s="238">
        <f>100*EXP(-EXP(Models!$D$66*(ChartData!B62-Models!$C$66+Models!$E$66*Models!$B$4+Models!$F$66*Models!$B$5)))</f>
        <v>99.999706006415039</v>
      </c>
      <c r="AS62" s="244">
        <f>Models!$B$30*Models!$I$30+(200-Models!$B$30*Models!$I$30)/(1+EXP(Models!$C$30*B62*(Models!$B$4*Models!$F$30+Models!$B$5+Models!$I$30*Models!$G$30)))</f>
        <v>65.282396769115294</v>
      </c>
      <c r="AT62" s="244">
        <f>100*EXP(-EXP(Models!$D$67*(ChartData!B62-Models!$C$67+Models!$E$67*Models!$B$4+Models!$F$67*Models!$B$5)))</f>
        <v>99.996333014432764</v>
      </c>
    </row>
    <row r="63" spans="1:46" x14ac:dyDescent="0.2">
      <c r="B63">
        <v>2150</v>
      </c>
      <c r="C63">
        <f>1-'Front Page'!$C$30</f>
        <v>0.99630303030303036</v>
      </c>
      <c r="D63" s="45">
        <f t="shared" si="0"/>
        <v>66.74457643196142</v>
      </c>
      <c r="E63" s="45">
        <f t="shared" si="1"/>
        <v>99.999783234021095</v>
      </c>
      <c r="F63" s="36">
        <f>Equations!$E$4/(1+EXP(Equations!$F$4*ChartData!B63*(Equations!$G$4*Equations!$C$4+Equations!$D$4)))</f>
        <v>79.749508257329381</v>
      </c>
      <c r="G63" s="36">
        <f>Equations!$E$7*EXP(-EXP(-Equations!$F$7*(ChartData!B63-Equations!$G$7+Equations!$H$7*Equations!$C$7+Equations!$I$7*Equations!$D$7)))</f>
        <v>99.976009056900722</v>
      </c>
      <c r="H63" s="55">
        <f>Models!$B$13+Models!$C$13*EXP(Models!$D$13*ChartData!B63+(Models!$E$13*ChartData!B63*Models!$E$3))</f>
        <v>55.191478480956306</v>
      </c>
      <c r="I63" s="55">
        <f>Models!$B$50*EXP(-EXP(Models!$D$50*(ChartData!B63+Models!$C$50-(Models!$E$50*Models!$B$5))))</f>
        <v>99.629966722923484</v>
      </c>
      <c r="J63" s="57">
        <f>Models!$B$12/(1+EXP(Models!$D$12*(ChartData!B63-Models!$C$12+Models!$E$12*ChartData!B63*Models!$B$5)))</f>
        <v>1.3514836154695864E-26</v>
      </c>
      <c r="K63" s="61">
        <f>Models!$B$49*EXP(-EXP(Models!$D$49*(ChartData!B63-Models!$C$49+(Models!$E$49*ChartData!B63*Models!$B$5))))</f>
        <v>99.999864276454204</v>
      </c>
      <c r="L63" s="62">
        <f>Models!$B$15/(1+EXP(Models!$D$15*(ChartData!B63*(1+Models!$D$15*Models!$B$5)-Models!$C$15)))</f>
        <v>1.4609600411864674</v>
      </c>
      <c r="M63" s="63">
        <f>Models!$B$52*EXP(-EXP(Models!$D$52*(ChartData!B63*(1+Models!$D$52*Models!$B$5)-Models!$C$52)))</f>
        <v>99.999966971554315</v>
      </c>
      <c r="N63" s="53">
        <f>Models!$B$15/(1+EXP(Models!$D$15*(ChartData!B63-Models!$D$15+Models!$E$15*ChartData!B63*Models!$B$5)))</f>
        <v>0.78556506040471519</v>
      </c>
      <c r="O63" s="53">
        <f>Models!$B$52*EXP(-EXP(Models!$D$52*(ChartData!B63-Models!$C$52+Models!$E$52*ChartData!B63*Models!$B$5)))</f>
        <v>99.999994067419124</v>
      </c>
      <c r="P63" s="172">
        <f>Models!$B$16*Models!$I$16+(100-Models!$B$16*Models!$I$16)/(1+EXP(Models!$C$16*(ChartData!B63-Models!$E$16+Models!$B$4*Models!$F$16+Models!$B$4*Models!$G$16*Models!$I$16+Models!$B$5*Models!$H$16)))</f>
        <v>36.642207707833229</v>
      </c>
      <c r="Q63" s="172">
        <f>Models!$B$53*EXP(-EXP(Models!$D$53*(ChartData!B63+Models!$C$53+Models!$B$5*Models!$E$53+Models!$B$4*Models!$F$53)))</f>
        <v>99.999353998163215</v>
      </c>
      <c r="R63" s="136">
        <f>Models!$B$17*Models!$I$17+(100-Models!$B$17*Models!$I$17)/(1+EXP(Models!$C$17*(ChartData!B63-Models!$E$17+Models!$B$4*Models!$F$17+Models!$B$4*Models!$G$17*Models!$I$17+Models!$B$5*Models!$H$17)))</f>
        <v>65.187186783390516</v>
      </c>
      <c r="S63" s="136">
        <f>Models!$B$54*EXP(-EXP(Models!$D$54*(ChartData!B63+Models!$C$54+Models!$B$5*Models!$E$54+Models!$B$4*Models!$F$54)))</f>
        <v>99.95887679685886</v>
      </c>
      <c r="T63" s="180">
        <f>Models!$B$18*Models!$I$18+(100-Models!$B$18*Models!$I$18)/(1+EXP(Models!$C$18*(ChartData!B63-Models!$E$18+Models!$B$4*Models!$F$18+Models!$B$4*Models!$G$18*Models!$I$18+Models!$B$5*Models!$H$18)))</f>
        <v>26.944025191064952</v>
      </c>
      <c r="U63" s="180">
        <f>Models!$B$55*EXP(-EXP(Models!$D$55*(ChartData!B63+Models!$C$55+Models!$B$5*Models!$E$55+Models!$B$4*Models!$F$55)))</f>
        <v>99.999783282811663</v>
      </c>
      <c r="V63" s="36">
        <f>Models!$B$19*Models!$I$19+(100-Models!$B$19*Models!$I$19)/(1+EXP(Models!$C$19*(ChartData!$B63-Models!$E$19+Models!$B$5*ChartData!$B63*Models!$F$19+Models!$B$4*Models!$G$19)))</f>
        <v>77.202386867256777</v>
      </c>
      <c r="W63" s="36">
        <f>Models!$B$56*EXP(-EXP(Models!$D$56*(ChartData!B63+Models!$C$56+Models!$B$5*Models!$E$56+Models!$B$4*Models!$F$56)))</f>
        <v>99.91550273414704</v>
      </c>
      <c r="X63" s="158">
        <f>Models!$B$20*Models!$I$20+(100-Models!$B$20*Models!$I$20)/(1+EXP(Models!$C$20*(ChartData!$B63-Models!$E$20+Models!$B$5*ChartData!$B63*Models!$F$20+Models!$B$4*Models!$G$20)))</f>
        <v>63.973409152883526</v>
      </c>
      <c r="Y63" s="158">
        <f>Models!$B$57*EXP(-EXP(Models!$D$57*(ChartData!B63+Models!$C$57+Models!$B$5*Models!$E$57+Models!$B$4*Models!$F$57)))</f>
        <v>99.996080247147873</v>
      </c>
      <c r="Z63" s="165">
        <f>Models!$B$21*Models!$I$21+(100-Models!$B$21*Models!$I$21)/(1+EXP(Models!$C$21*(ChartData!$B63-Models!$E$21+Models!$B$5*ChartData!$B63*Models!$F$21+Models!$B$4*Models!$G$21)))</f>
        <v>65.125256187083266</v>
      </c>
      <c r="AA63" s="165">
        <f>Models!$B$58*EXP(-EXP(Models!$D$58*(ChartData!B63+Models!$C$58+Models!$B$5*Models!$E$58+Models!$B$4*Models!$F$58)))</f>
        <v>99.997620707081111</v>
      </c>
      <c r="AB63" s="146">
        <f>200/(1+EXP(Models!$D$22*((Models!$E$22*Models!$B$4+Models!$B$5)*ChartData!B63)))</f>
        <v>85.106442155802753</v>
      </c>
      <c r="AC63" s="146">
        <f>100*EXP(-EXP(Models!$D$59*(ChartData!B63-Models!$C$59+Models!$E$59*Models!$B$4+Models!$F$59*Models!$B$5)))</f>
        <v>99.373158746891917</v>
      </c>
      <c r="AD63" s="149">
        <f>200/(1+EXP(Models!$D$23*((Models!$E$23*Models!$B$4+Models!$B$5)*ChartData!B63)))</f>
        <v>78.554033492912595</v>
      </c>
      <c r="AE63" s="149">
        <f>100*EXP(-EXP(Models!$D$60*(ChartData!B63-Models!$C$60+Models!$E$60*Models!$B$4+Models!$F$60*Models!$B$5)))</f>
        <v>99.916647816489629</v>
      </c>
      <c r="AF63" s="153">
        <f>200/(1+EXP(Models!$D$24*((Models!$E$24*Models!$B$4+Models!$B$5)*ChartData!B63)))</f>
        <v>76.495777995819751</v>
      </c>
      <c r="AG63" s="153">
        <f>100*EXP(-EXP(Models!$D$61*(ChartData!B63-Models!$C$61+Models!$E$61*Models!$B$4+Models!$F$61*Models!$B$5)))</f>
        <v>99.947642858767765</v>
      </c>
      <c r="AH63" s="266">
        <f>IF('Front Page'!$C$31&gt;0,1-'Front Page'!$C$31,"")</f>
        <v>0.995</v>
      </c>
      <c r="AI63" s="214">
        <f>Models!$B$25*Models!$I$25+(200-Models!$B$25*Models!$I$25)/(1+EXP(Models!$C$25*B63*(Models!$B$4*Models!$F$25+Models!$B$5+Models!$I$25*Models!$G$25)))</f>
        <v>79.850414367823589</v>
      </c>
      <c r="AJ63" s="214">
        <f>100*EXP(-EXP(Models!$D$62*(ChartData!B63-Models!$C$62+Models!$E$62*Models!$B$4+Models!$F$62*Models!$B$5)))</f>
        <v>99.915501803167388</v>
      </c>
      <c r="AK63" s="220">
        <f>Models!$B$26*Models!$I$26+(200-Models!$B$26*Models!$I$26)/(1+EXP(Models!$C$26*B63*(Models!$B$4*Models!$F$26+Models!$B$5+Models!$I$26*Models!$G$26)))</f>
        <v>71.845116534802045</v>
      </c>
      <c r="AL63" s="220">
        <f>100*EXP(-EXP(Models!$D$63*(ChartData!B63-Models!$C$63+Models!$E$63*Models!$B$4+Models!$F$63*Models!$B$5)))</f>
        <v>99.996079378859307</v>
      </c>
      <c r="AM63" s="226">
        <f>Models!$B$27*Models!$I$27+(200-Models!$B$27*Models!$I$27)/(1+EXP(Models!$C$27*B63*(Models!$B$4*Models!$F$27+Models!$B$5+Models!$I$27*Models!$G$27)))</f>
        <v>41.269527469418193</v>
      </c>
      <c r="AN63" s="226">
        <f>100*EXP(-EXP(Models!$D$64*(ChartData!B63-Models!$C$64+Models!$E$64*Models!$B$4+Models!$F$64*Models!$B$5)))</f>
        <v>99.997620667368693</v>
      </c>
      <c r="AO63" s="232">
        <f>Models!$B$28*Models!$I$28+(200-Models!$B$28*Models!$I$28)/(1+EXP(Models!$C$28*B63*(Models!$B$4*Models!$F$28+Models!$B$5+Models!$I$28*Models!$G$28)))</f>
        <v>76.87605828284768</v>
      </c>
      <c r="AP63" s="232">
        <f>100*EXP(-EXP(Models!$D$65*(ChartData!B63-Models!$C$65+Models!$E$65*Models!$B$4+Models!$F$65*Models!$B$5)))</f>
        <v>99.95888452245795</v>
      </c>
      <c r="AQ63" s="238">
        <f>Models!$B$29*Models!$I$29+(200-Models!$B$29*Models!$I$29)/(1+EXP(Models!$C$29*B63*(Models!$B$4*Models!$F$29+Models!$B$5+Models!$I$29*Models!$G$29)))</f>
        <v>66.74457643196142</v>
      </c>
      <c r="AR63" s="238">
        <f>100*EXP(-EXP(Models!$D$66*(ChartData!B63-Models!$C$66+Models!$E$66*Models!$B$4+Models!$F$66*Models!$B$5)))</f>
        <v>99.999783234021095</v>
      </c>
      <c r="AS63" s="244">
        <f>Models!$B$30*Models!$I$30+(200-Models!$B$30*Models!$I$30)/(1+EXP(Models!$C$30*B63*(Models!$B$4*Models!$F$30+Models!$B$5+Models!$I$30*Models!$G$30)))</f>
        <v>64.457070921271949</v>
      </c>
      <c r="AT63" s="244">
        <f>100*EXP(-EXP(Models!$D$67*(ChartData!B63-Models!$C$67+Models!$E$67*Models!$B$4+Models!$F$67*Models!$B$5)))</f>
        <v>99.997136115360334</v>
      </c>
    </row>
    <row r="64" spans="1:46" x14ac:dyDescent="0.2">
      <c r="A64" s="213" t="s">
        <v>383</v>
      </c>
      <c r="B64">
        <v>2200</v>
      </c>
      <c r="C64">
        <f>1-'Front Page'!$C$30</f>
        <v>0.99630303030303036</v>
      </c>
      <c r="D64" s="45">
        <f t="shared" si="0"/>
        <v>66.031461402911546</v>
      </c>
      <c r="E64" s="45">
        <f t="shared" si="1"/>
        <v>99.999840175135617</v>
      </c>
      <c r="F64" s="36">
        <f>Equations!$E$4/(1+EXP(Equations!$F$4*ChartData!B64*(Equations!$G$4*Equations!$C$4+Equations!$D$4)))</f>
        <v>79.291994991987835</v>
      </c>
      <c r="G64" s="36">
        <f>Equations!$E$7*EXP(-EXP(-Equations!$F$7*(ChartData!B64-Equations!$G$7+Equations!$H$7*Equations!$C$7+Equations!$I$7*Equations!$D$7)))</f>
        <v>99.979714224675021</v>
      </c>
      <c r="H64" s="55">
        <f>Models!$B$13+Models!$C$13*EXP(Models!$D$13*ChartData!B64+(Models!$E$13*ChartData!B64*Models!$E$3))</f>
        <v>54.519133848246945</v>
      </c>
      <c r="I64" s="55">
        <f>Models!$B$50*EXP(-EXP(Models!$D$50*(ChartData!B64+Models!$C$50-(Models!$E$50*Models!$B$5))))</f>
        <v>99.669604075463894</v>
      </c>
      <c r="J64" s="57">
        <f>Models!$B$12/(1+EXP(Models!$D$12*(ChartData!B64-Models!$C$12+Models!$E$12*ChartData!B64*Models!$B$5)))</f>
        <v>2.1710003593869547E-27</v>
      </c>
      <c r="K64" s="61">
        <f>Models!$B$49*EXP(-EXP(Models!$D$49*(ChartData!B64-Models!$C$49+(Models!$E$49*ChartData!B64*Models!$B$5))))</f>
        <v>99.999904416494743</v>
      </c>
      <c r="L64" s="62">
        <f>Models!$B$15/(1+EXP(Models!$D$15*(ChartData!B64*(1+Models!$D$15*Models!$B$5)-Models!$C$15)))</f>
        <v>1.3033402498545239</v>
      </c>
      <c r="M64" s="63">
        <f>Models!$B$52*EXP(-EXP(Models!$D$52*(ChartData!B64*(1+Models!$D$52*Models!$B$5)-Models!$C$52)))</f>
        <v>99.999977483199316</v>
      </c>
      <c r="N64" s="53">
        <f>Models!$B$15/(1+EXP(Models!$D$15*(ChartData!B64-Models!$D$15+Models!$E$15*ChartData!B64*Models!$B$5)))</f>
        <v>0.69099994405690823</v>
      </c>
      <c r="O64" s="53">
        <f>Models!$B$52*EXP(-EXP(Models!$D$52*(ChartData!B64-Models!$C$52+Models!$E$52*ChartData!B64*Models!$B$5)))</f>
        <v>99.9999961138315</v>
      </c>
      <c r="P64" s="172">
        <f>Models!$B$16*Models!$I$16+(100-Models!$B$16*Models!$I$16)/(1+EXP(Models!$C$16*(ChartData!B64-Models!$E$16+Models!$B$4*Models!$F$16+Models!$B$4*Models!$G$16*Models!$I$16+Models!$B$5*Models!$H$16)))</f>
        <v>34.025745790328955</v>
      </c>
      <c r="Q64" s="172">
        <f>Models!$B$53*EXP(-EXP(Models!$D$53*(ChartData!B64+Models!$C$53+Models!$B$5*Models!$E$53+Models!$B$4*Models!$F$53)))</f>
        <v>99.999511962065768</v>
      </c>
      <c r="R64" s="136">
        <f>Models!$B$17*Models!$I$17+(100-Models!$B$17*Models!$I$17)/(1+EXP(Models!$C$17*(ChartData!B64-Models!$E$17+Models!$B$4*Models!$F$17+Models!$B$4*Models!$G$17*Models!$I$17+Models!$B$5*Models!$H$17)))</f>
        <v>63.098677336560307</v>
      </c>
      <c r="S64" s="136">
        <f>Models!$B$54*EXP(-EXP(Models!$D$54*(ChartData!B64+Models!$C$54+Models!$B$5*Models!$E$54+Models!$B$4*Models!$F$54)))</f>
        <v>99.965890443484653</v>
      </c>
      <c r="T64" s="180">
        <f>Models!$B$18*Models!$I$18+(100-Models!$B$18*Models!$I$18)/(1+EXP(Models!$C$18*(ChartData!B64-Models!$E$18+Models!$B$4*Models!$F$18+Models!$B$4*Models!$G$18*Models!$I$18+Models!$B$5*Models!$H$18)))</f>
        <v>25.003716934849784</v>
      </c>
      <c r="U64" s="180">
        <f>Models!$B$55*EXP(-EXP(Models!$D$55*(ChartData!B64+Models!$C$55+Models!$B$5*Models!$E$55+Models!$B$4*Models!$F$55)))</f>
        <v>99.999840211908605</v>
      </c>
      <c r="V64" s="36">
        <f>Models!$B$19*Models!$I$19+(100-Models!$B$19*Models!$I$19)/(1+EXP(Models!$C$19*(ChartData!$B64-Models!$E$19+Models!$B$5*ChartData!$B64*Models!$F$19+Models!$B$4*Models!$G$19)))</f>
        <v>76.649408189947252</v>
      </c>
      <c r="W64" s="36">
        <f>Models!$B$56*EXP(-EXP(Models!$D$56*(ChartData!B64+Models!$C$56+Models!$B$5*Models!$E$56+Models!$B$4*Models!$F$56)))</f>
        <v>99.926404143981756</v>
      </c>
      <c r="X64" s="158">
        <f>Models!$B$20*Models!$I$20+(100-Models!$B$20*Models!$I$20)/(1+EXP(Models!$C$20*(ChartData!$B64-Models!$E$20+Models!$B$5*ChartData!$B64*Models!$F$20+Models!$B$4*Models!$G$20)))</f>
        <v>62.908023743796086</v>
      </c>
      <c r="Y64" s="158">
        <f>Models!$B$57*EXP(-EXP(Models!$D$57*(ChartData!B64+Models!$C$57+Models!$B$5*Models!$E$57+Models!$B$4*Models!$F$57)))</f>
        <v>99.99681967847188</v>
      </c>
      <c r="Z64" s="165">
        <f>Models!$B$21*Models!$I$21+(100-Models!$B$21*Models!$I$21)/(1+EXP(Models!$C$21*(ChartData!$B64-Models!$E$21+Models!$B$5*ChartData!$B64*Models!$F$21+Models!$B$4*Models!$G$21)))</f>
        <v>64.065724376450504</v>
      </c>
      <c r="AA64" s="165">
        <f>Models!$B$58*EXP(-EXP(Models!$D$58*(ChartData!B64+Models!$C$58+Models!$B$5*Models!$E$58+Models!$B$4*Models!$F$58)))</f>
        <v>99.998091799395468</v>
      </c>
      <c r="AB64" s="146">
        <f>200/(1+EXP(Models!$D$22*((Models!$E$22*Models!$B$4+Models!$B$5)*ChartData!B64)))</f>
        <v>84.765403870104848</v>
      </c>
      <c r="AC64" s="146">
        <f>100*EXP(-EXP(Models!$D$59*(ChartData!B64-Models!$C$59+Models!$E$59*Models!$B$4+Models!$F$59*Models!$B$5)))</f>
        <v>99.430796533315856</v>
      </c>
      <c r="AD64" s="149">
        <f>200/(1+EXP(Models!$D$23*((Models!$E$23*Models!$B$4+Models!$B$5)*ChartData!B64)))</f>
        <v>78.07125470815491</v>
      </c>
      <c r="AE64" s="149">
        <f>100*EXP(-EXP(Models!$D$60*(ChartData!B64-Models!$C$60+Models!$E$60*Models!$B$4+Models!$F$60*Models!$B$5)))</f>
        <v>99.927784079785823</v>
      </c>
      <c r="AF64" s="153">
        <f>200/(1+EXP(Models!$D$24*((Models!$E$24*Models!$B$4+Models!$B$5)*ChartData!B64)))</f>
        <v>75.970221147214986</v>
      </c>
      <c r="AG64" s="153">
        <f>100*EXP(-EXP(Models!$D$61*(ChartData!B64-Models!$C$61+Models!$E$61*Models!$B$4+Models!$F$61*Models!$B$5)))</f>
        <v>99.955124554924367</v>
      </c>
      <c r="AH64" s="266">
        <f>IF('Front Page'!$C$31&gt;0,1-'Front Page'!$C$31,"")</f>
        <v>0.995</v>
      </c>
      <c r="AI64" s="214">
        <f>Models!$B$25*Models!$I$25+(200-Models!$B$25*Models!$I$25)/(1+EXP(Models!$C$25*B64*(Models!$B$4*Models!$F$25+Models!$B$5+Models!$I$25*Models!$G$25)))</f>
        <v>79.395047012967396</v>
      </c>
      <c r="AJ64" s="214">
        <f>100*EXP(-EXP(Models!$D$62*(ChartData!B64-Models!$C$62+Models!$E$62*Models!$B$4+Models!$F$62*Models!$B$5)))</f>
        <v>99.926403333068151</v>
      </c>
      <c r="AK64" s="220">
        <f>Models!$B$26*Models!$I$26+(200-Models!$B$26*Models!$I$26)/(1+EXP(Models!$C$26*B64*(Models!$B$4*Models!$F$26+Models!$B$5+Models!$I$26*Models!$G$26)))</f>
        <v>71.226702917945701</v>
      </c>
      <c r="AL64" s="220">
        <f>100*EXP(-EXP(Models!$D$63*(ChartData!B64-Models!$C$63+Models!$E$63*Models!$B$4+Models!$F$63*Models!$B$5)))</f>
        <v>99.996818958071771</v>
      </c>
      <c r="AM64" s="226">
        <f>Models!$B$27*Models!$I$27+(200-Models!$B$27*Models!$I$27)/(1+EXP(Models!$C$27*B64*(Models!$B$4*Models!$F$27+Models!$B$5+Models!$I$27*Models!$G$27)))</f>
        <v>40.347247894633767</v>
      </c>
      <c r="AN64" s="226">
        <f>100*EXP(-EXP(Models!$D$64*(ChartData!B64-Models!$C$64+Models!$E$64*Models!$B$4+Models!$F$64*Models!$B$5)))</f>
        <v>99.998091767545901</v>
      </c>
      <c r="AO64" s="232">
        <f>Models!$B$28*Models!$I$28+(200-Models!$B$28*Models!$I$28)/(1+EXP(Models!$C$28*B64*(Models!$B$4*Models!$F$28+Models!$B$5+Models!$I$28*Models!$G$28)))</f>
        <v>76.358333057237701</v>
      </c>
      <c r="AP64" s="232">
        <f>100*EXP(-EXP(Models!$D$65*(ChartData!B64-Models!$C$65+Models!$E$65*Models!$B$4+Models!$F$65*Models!$B$5)))</f>
        <v>99.965896851691738</v>
      </c>
      <c r="AQ64" s="238">
        <f>Models!$B$29*Models!$I$29+(200-Models!$B$29*Models!$I$29)/(1+EXP(Models!$C$29*B64*(Models!$B$4*Models!$F$29+Models!$B$5+Models!$I$29*Models!$G$29)))</f>
        <v>66.031461402911546</v>
      </c>
      <c r="AR64" s="238">
        <f>100*EXP(-EXP(Models!$D$66*(ChartData!B64-Models!$C$66+Models!$E$66*Models!$B$4+Models!$F$66*Models!$B$5)))</f>
        <v>99.999840175135617</v>
      </c>
      <c r="AS64" s="244">
        <f>Models!$B$30*Models!$I$30+(200-Models!$B$30*Models!$I$30)/(1+EXP(Models!$C$30*B64*(Models!$B$4*Models!$F$30+Models!$B$5+Models!$I$30*Models!$G$30)))</f>
        <v>63.63907743928069</v>
      </c>
      <c r="AT64" s="244">
        <f>100*EXP(-EXP(Models!$D$67*(ChartData!B64-Models!$C$67+Models!$E$67*Models!$B$4+Models!$F$67*Models!$B$5)))</f>
        <v>99.997763332343197</v>
      </c>
    </row>
    <row r="65" spans="1:46" x14ac:dyDescent="0.2">
      <c r="A65" s="214">
        <f>'Front Page'!C31</f>
        <v>5.0000000000000001E-3</v>
      </c>
      <c r="B65">
        <v>2270</v>
      </c>
      <c r="C65">
        <f>1-'Front Page'!$C$30</f>
        <v>0.99630303030303036</v>
      </c>
      <c r="D65" s="45">
        <f t="shared" si="0"/>
        <v>65.039639133253417</v>
      </c>
      <c r="E65" s="45">
        <f t="shared" si="1"/>
        <v>99.999895682107507</v>
      </c>
      <c r="F65" s="36">
        <f>Equations!$E$4/(1+EXP(Equations!$F$4*ChartData!B65*(Equations!$G$4*Equations!$C$4+Equations!$D$4)))</f>
        <v>78.652999137233635</v>
      </c>
      <c r="G65" s="36">
        <f>Equations!$E$7*EXP(-EXP(-Equations!$F$7*(ChartData!B65-Equations!$G$7+Equations!$H$7*Equations!$C$7+Equations!$I$7*Equations!$D$7)))</f>
        <v>99.983960472378527</v>
      </c>
      <c r="H65" s="55">
        <f>Models!$B$13+Models!$C$13*EXP(Models!$D$13*ChartData!B65+(Models!$E$13*ChartData!B65*Models!$E$3))</f>
        <v>53.598725637049974</v>
      </c>
      <c r="I65" s="55">
        <f>Models!$B$50*EXP(-EXP(Models!$D$50*(ChartData!B65+Models!$C$50-(Models!$E$50*Models!$B$5))))</f>
        <v>99.718076800874172</v>
      </c>
      <c r="J65" s="57">
        <f>Models!$B$12/(1+EXP(Models!$D$12*(ChartData!B65-Models!$C$12+Models!$E$12*ChartData!B65*Models!$B$5)))</f>
        <v>1.6782190627420857E-28</v>
      </c>
      <c r="K65" s="61">
        <f>Models!$B$49*EXP(-EXP(Models!$D$49*(ChartData!B65-Models!$C$49+(Models!$E$49*ChartData!B65*Models!$B$5))))</f>
        <v>99.999941493816394</v>
      </c>
      <c r="L65" s="62">
        <f>Models!$B$15/(1+EXP(Models!$D$15*(ChartData!B65*(1+Models!$D$15*Models!$B$5)-Models!$C$15)))</f>
        <v>1.1106660163324278</v>
      </c>
      <c r="M65" s="63">
        <f>Models!$B$52*EXP(-EXP(Models!$D$52*(ChartData!B65*(1+Models!$D$52*Models!$B$5)-Models!$C$52)))</f>
        <v>99.999986830398385</v>
      </c>
      <c r="N65" s="53">
        <f>Models!$B$15/(1+EXP(Models!$D$15*(ChartData!B65-Models!$D$15+Models!$E$15*ChartData!B65*Models!$B$5)))</f>
        <v>0.57736598684113527</v>
      </c>
      <c r="O65" s="53">
        <f>Models!$B$52*EXP(-EXP(Models!$D$52*(ChartData!B65-Models!$C$52+Models!$E$52*ChartData!B65*Models!$B$5)))</f>
        <v>99.999997850632056</v>
      </c>
      <c r="P65" s="172">
        <f>Models!$B$16*Models!$I$16+(100-Models!$B$16*Models!$I$16)/(1+EXP(Models!$C$16*(ChartData!B65-Models!$E$16+Models!$B$4*Models!$F$16+Models!$B$4*Models!$G$16*Models!$I$16+Models!$B$5*Models!$H$16)))</f>
        <v>30.522960847855941</v>
      </c>
      <c r="Q65" s="172">
        <f>Models!$B$53*EXP(-EXP(Models!$D$53*(ChartData!B65+Models!$C$53+Models!$B$5*Models!$E$53+Models!$B$4*Models!$F$53)))</f>
        <v>99.999670419732183</v>
      </c>
      <c r="R65" s="136">
        <f>Models!$B$17*Models!$I$17+(100-Models!$B$17*Models!$I$17)/(1+EXP(Models!$C$17*(ChartData!B65-Models!$E$17+Models!$B$4*Models!$F$17+Models!$B$4*Models!$G$17*Models!$I$17+Models!$B$5*Models!$H$17)))</f>
        <v>60.091939970680642</v>
      </c>
      <c r="S65" s="136">
        <f>Models!$B$54*EXP(-EXP(Models!$D$54*(ChartData!B65+Models!$C$54+Models!$B$5*Models!$E$54+Models!$B$4*Models!$F$54)))</f>
        <v>99.97374714124355</v>
      </c>
      <c r="T65" s="180">
        <f>Models!$B$18*Models!$I$18+(100-Models!$B$18*Models!$I$18)/(1+EXP(Models!$C$18*(ChartData!B65-Models!$E$18+Models!$B$4*Models!$F$18+Models!$B$4*Models!$G$18*Models!$I$18+Models!$B$5*Models!$H$18)))</f>
        <v>22.554144929334051</v>
      </c>
      <c r="U65" s="180">
        <f>Models!$B$55*EXP(-EXP(Models!$D$55*(ChartData!B65+Models!$C$55+Models!$B$5*Models!$E$55+Models!$B$4*Models!$F$55)))</f>
        <v>99.999895706839354</v>
      </c>
      <c r="V65" s="36">
        <f>Models!$B$19*Models!$I$19+(100-Models!$B$19*Models!$I$19)/(1+EXP(Models!$C$19*(ChartData!$B65-Models!$E$19+Models!$B$5*ChartData!$B65*Models!$F$19+Models!$B$4*Models!$G$19)))</f>
        <v>75.859693603412225</v>
      </c>
      <c r="W65" s="36">
        <f>Models!$B$56*EXP(-EXP(Models!$D$56*(ChartData!B65+Models!$C$56+Models!$B$5*Models!$E$56+Models!$B$4*Models!$F$56)))</f>
        <v>99.939345461544477</v>
      </c>
      <c r="X65" s="158">
        <f>Models!$B$20*Models!$I$20+(100-Models!$B$20*Models!$I$20)/(1+EXP(Models!$C$20*(ChartData!$B65-Models!$E$20+Models!$B$5*ChartData!$B65*Models!$F$20+Models!$B$4*Models!$G$20)))</f>
        <v>61.395341627253927</v>
      </c>
      <c r="Y65" s="158">
        <f>Models!$B$57*EXP(-EXP(Models!$D$57*(ChartData!B65+Models!$C$57+Models!$B$5*Models!$E$57+Models!$B$4*Models!$F$57)))</f>
        <v>99.997626617065421</v>
      </c>
      <c r="Z65" s="165">
        <f>Models!$B$21*Models!$I$21+(100-Models!$B$21*Models!$I$21)/(1+EXP(Models!$C$21*(ChartData!$B65-Models!$E$21+Models!$B$5*ChartData!$B65*Models!$F$21+Models!$B$4*Models!$G$21)))</f>
        <v>62.566957069751048</v>
      </c>
      <c r="AA65" s="165">
        <f>Models!$B$58*EXP(-EXP(Models!$D$58*(ChartData!B65+Models!$C$58+Models!$B$5*Models!$E$58+Models!$B$4*Models!$F$58)))</f>
        <v>99.99859889635816</v>
      </c>
      <c r="AB65" s="146">
        <f>200/(1+EXP(Models!$D$22*((Models!$E$22*Models!$B$4+Models!$B$5)*ChartData!B65)))</f>
        <v>84.288560851538179</v>
      </c>
      <c r="AC65" s="146">
        <f>100*EXP(-EXP(Models!$D$59*(ChartData!B65-Models!$C$59+Models!$E$59*Models!$B$4+Models!$F$59*Models!$B$5)))</f>
        <v>99.502718545611458</v>
      </c>
      <c r="AD65" s="149">
        <f>200/(1+EXP(Models!$D$23*((Models!$E$23*Models!$B$4+Models!$B$5)*ChartData!B65)))</f>
        <v>77.397169199325518</v>
      </c>
      <c r="AE65" s="149">
        <f>100*EXP(-EXP(Models!$D$60*(ChartData!B65-Models!$C$60+Models!$E$60*Models!$B$4+Models!$F$60*Models!$B$5)))</f>
        <v>99.94092143041469</v>
      </c>
      <c r="AF65" s="153">
        <f>200/(1+EXP(Models!$D$24*((Models!$E$24*Models!$B$4+Models!$B$5)*ChartData!B65)))</f>
        <v>75.236808025028637</v>
      </c>
      <c r="AG65" s="153">
        <f>100*EXP(-EXP(Models!$D$61*(ChartData!B65-Models!$C$61+Models!$E$61*Models!$B$4+Models!$F$61*Models!$B$5)))</f>
        <v>99.963838126432108</v>
      </c>
      <c r="AH65" s="266">
        <f>IF('Front Page'!$C$31&gt;0,1-'Front Page'!$C$31,"")</f>
        <v>0.995</v>
      </c>
      <c r="AI65" s="214">
        <f>Models!$B$25*Models!$I$25+(200-Models!$B$25*Models!$I$25)/(1+EXP(Models!$C$25*B65*(Models!$B$4*Models!$F$25+Models!$B$5+Models!$I$25*Models!$G$25)))</f>
        <v>78.75903304331554</v>
      </c>
      <c r="AJ65" s="214">
        <f>100*EXP(-EXP(Models!$D$62*(ChartData!B65-Models!$C$62+Models!$E$62*Models!$B$4+Models!$F$62*Models!$B$5)))</f>
        <v>99.939344793181078</v>
      </c>
      <c r="AK65" s="220">
        <f>Models!$B$26*Models!$I$26+(200-Models!$B$26*Models!$I$26)/(1+EXP(Models!$C$26*B65*(Models!$B$4*Models!$F$26+Models!$B$5+Models!$I$26*Models!$G$26)))</f>
        <v>70.364948677927273</v>
      </c>
      <c r="AL65" s="220">
        <f>100*EXP(-EXP(Models!$D$63*(ChartData!B65-Models!$C$63+Models!$E$63*Models!$B$4+Models!$F$63*Models!$B$5)))</f>
        <v>99.997626062831955</v>
      </c>
      <c r="AM65" s="226">
        <f>Models!$B$27*Models!$I$27+(200-Models!$B$27*Models!$I$27)/(1+EXP(Models!$C$27*B65*(Models!$B$4*Models!$F$27+Models!$B$5+Models!$I$27*Models!$G$27)))</f>
        <v>39.103192168496534</v>
      </c>
      <c r="AN65" s="226">
        <f>100*EXP(-EXP(Models!$D$64*(ChartData!B65-Models!$C$64+Models!$E$64*Models!$B$4+Models!$F$64*Models!$B$5)))</f>
        <v>99.998598872972437</v>
      </c>
      <c r="AO65" s="232">
        <f>Models!$B$28*Models!$I$28+(200-Models!$B$28*Models!$I$28)/(1+EXP(Models!$C$28*B65*(Models!$B$4*Models!$F$28+Models!$B$5+Models!$I$28*Models!$G$28)))</f>
        <v>75.635772918808584</v>
      </c>
      <c r="AP65" s="232">
        <f>100*EXP(-EXP(Models!$D$65*(ChartData!B65-Models!$C$65+Models!$E$65*Models!$B$4+Models!$F$65*Models!$B$5)))</f>
        <v>99.973752073596316</v>
      </c>
      <c r="AQ65" s="238">
        <f>Models!$B$29*Models!$I$29+(200-Models!$B$29*Models!$I$29)/(1+EXP(Models!$C$29*B65*(Models!$B$4*Models!$F$29+Models!$B$5+Models!$I$29*Models!$G$29)))</f>
        <v>65.039639133253417</v>
      </c>
      <c r="AR65" s="238">
        <f>100*EXP(-EXP(Models!$D$66*(ChartData!B65-Models!$C$66+Models!$E$66*Models!$B$4+Models!$F$66*Models!$B$5)))</f>
        <v>99.999895682107507</v>
      </c>
      <c r="AS65" s="244">
        <f>Models!$B$30*Models!$I$30+(200-Models!$B$30*Models!$I$30)/(1+EXP(Models!$C$30*B65*(Models!$B$4*Models!$F$30+Models!$B$5+Models!$I$30*Models!$G$30)))</f>
        <v>62.506359192574749</v>
      </c>
      <c r="AT65" s="244">
        <f>100*EXP(-EXP(Models!$D$67*(ChartData!B65-Models!$C$67+Models!$E$67*Models!$B$4+Models!$F$67*Models!$B$5)))</f>
        <v>99.998417640042604</v>
      </c>
    </row>
    <row r="66" spans="1:46" x14ac:dyDescent="0.2">
      <c r="B66">
        <v>2350</v>
      </c>
      <c r="C66">
        <f>1-'Front Page'!$C$30</f>
        <v>0.99630303030303036</v>
      </c>
      <c r="D66" s="45">
        <f t="shared" si="0"/>
        <v>63.915656880889976</v>
      </c>
      <c r="E66" s="45">
        <f t="shared" si="1"/>
        <v>99.999935937504631</v>
      </c>
      <c r="F66" s="36">
        <f>Equations!$E$4/(1+EXP(Equations!$F$4*ChartData!B66*(Equations!$G$4*Equations!$C$4+Equations!$D$4)))</f>
        <v>77.924951172026582</v>
      </c>
      <c r="G66" s="36">
        <f>Equations!$E$7*EXP(-EXP(-Equations!$F$7*(ChartData!B66-Equations!$G$7+Equations!$H$7*Equations!$C$7+Equations!$I$7*Equations!$D$7)))</f>
        <v>99.987736406026144</v>
      </c>
      <c r="H66" s="55">
        <f>Models!$B$13+Models!$C$13*EXP(Models!$D$13*ChartData!B66+(Models!$E$13*ChartData!B66*Models!$E$3))</f>
        <v>52.575917279922592</v>
      </c>
      <c r="I66" s="55">
        <f>Models!$B$50*EXP(-EXP(Models!$D$50*(ChartData!B66+Models!$C$50-(Models!$E$50*Models!$B$5))))</f>
        <v>99.764839324070735</v>
      </c>
      <c r="J66" s="57">
        <f>Models!$B$12/(1+EXP(Models!$D$12*(ChartData!B66-Models!$C$12+Models!$E$12*ChartData!B66*Models!$B$5)))</f>
        <v>8.9992688524372693E-30</v>
      </c>
      <c r="K66" s="61">
        <f>Models!$B$49*EXP(-EXP(Models!$D$49*(ChartData!B66-Models!$C$49+(Models!$E$49*ChartData!B66*Models!$B$5))))</f>
        <v>99.999966613868907</v>
      </c>
      <c r="L66" s="62">
        <f>Models!$B$15/(1+EXP(Models!$D$15*(ChartData!B66*(1+Models!$D$15*Models!$B$5)-Models!$C$15)))</f>
        <v>0.92492939542716068</v>
      </c>
      <c r="M66" s="63">
        <f>Models!$B$52*EXP(-EXP(Models!$D$52*(ChartData!B66*(1+Models!$D$52*Models!$B$5)-Models!$C$52)))</f>
        <v>99.999992865520582</v>
      </c>
      <c r="N66" s="53">
        <f>Models!$B$15/(1+EXP(Models!$D$15*(ChartData!B66-Models!$D$15+Models!$E$15*ChartData!B66*Models!$B$5)))</f>
        <v>0.47014112003353892</v>
      </c>
      <c r="O66" s="53">
        <f>Models!$B$52*EXP(-EXP(Models!$D$52*(ChartData!B66-Models!$C$52+Models!$E$52*ChartData!B66*Models!$B$5)))</f>
        <v>99.999998907665884</v>
      </c>
      <c r="P66" s="172">
        <f>Models!$B$16*Models!$I$16+(100-Models!$B$16*Models!$I$16)/(1+EXP(Models!$C$16*(ChartData!B66-Models!$E$16+Models!$B$4*Models!$F$16+Models!$B$4*Models!$G$16*Models!$I$16+Models!$B$5*Models!$H$16)))</f>
        <v>26.780316801554989</v>
      </c>
      <c r="Q66" s="172">
        <f>Models!$B$53*EXP(-EXP(Models!$D$53*(ChartData!B66+Models!$C$53+Models!$B$5*Models!$E$53+Models!$B$4*Models!$F$53)))</f>
        <v>99.999789567586632</v>
      </c>
      <c r="R66" s="136">
        <f>Models!$B$17*Models!$I$17+(100-Models!$B$17*Models!$I$17)/(1+EXP(Models!$C$17*(ChartData!B66-Models!$E$17+Models!$B$4*Models!$F$17+Models!$B$4*Models!$G$17*Models!$I$17+Models!$B$5*Models!$H$17)))</f>
        <v>56.561377543202511</v>
      </c>
      <c r="S66" s="136">
        <f>Models!$B$54*EXP(-EXP(Models!$D$54*(ChartData!B66+Models!$C$54+Models!$B$5*Models!$E$54+Models!$B$4*Models!$F$54)))</f>
        <v>99.980536112229942</v>
      </c>
      <c r="T66" s="180">
        <f>Models!$B$18*Models!$I$18+(100-Models!$B$18*Models!$I$18)/(1+EXP(Models!$C$18*(ChartData!B66-Models!$E$18+Models!$B$4*Models!$F$18+Models!$B$4*Models!$G$18*Models!$I$18+Models!$B$5*Models!$H$18)))</f>
        <v>20.119298898148084</v>
      </c>
      <c r="U66" s="180">
        <f>Models!$B$55*EXP(-EXP(Models!$D$55*(ChartData!B66+Models!$C$55+Models!$B$5*Models!$E$55+Models!$B$4*Models!$F$55)))</f>
        <v>99.999935953205039</v>
      </c>
      <c r="V66" s="36">
        <f>Models!$B$19*Models!$I$19+(100-Models!$B$19*Models!$I$19)/(1+EXP(Models!$C$19*(ChartData!$B66-Models!$E$19+Models!$B$5*ChartData!$B66*Models!$F$19+Models!$B$4*Models!$G$19)))</f>
        <v>74.93511283527701</v>
      </c>
      <c r="W66" s="36">
        <f>Models!$B$56*EXP(-EXP(Models!$D$56*(ChartData!B66+Models!$C$56+Models!$B$5*Models!$E$56+Models!$B$4*Models!$F$56)))</f>
        <v>99.951373987084864</v>
      </c>
      <c r="X66" s="158">
        <f>Models!$B$20*Models!$I$20+(100-Models!$B$20*Models!$I$20)/(1+EXP(Models!$C$20*(ChartData!$B66-Models!$E$20+Models!$B$5*ChartData!$B66*Models!$F$20+Models!$B$4*Models!$G$20)))</f>
        <v>59.63938010186282</v>
      </c>
      <c r="Y66" s="158">
        <f>Models!$B$57*EXP(-EXP(Models!$D$57*(ChartData!B66+Models!$C$57+Models!$B$5*Models!$E$57+Models!$B$4*Models!$F$57)))</f>
        <v>99.998301339992082</v>
      </c>
      <c r="Z66" s="165">
        <f>Models!$B$21*Models!$I$21+(100-Models!$B$21*Models!$I$21)/(1+EXP(Models!$C$21*(ChartData!$B66-Models!$E$21+Models!$B$5*ChartData!$B66*Models!$F$21+Models!$B$4*Models!$G$21)))</f>
        <v>60.836102358079074</v>
      </c>
      <c r="AA66" s="165">
        <f>Models!$B$58*EXP(-EXP(Models!$D$58*(ChartData!B66+Models!$C$58+Models!$B$5*Models!$E$58+Models!$B$4*Models!$F$58)))</f>
        <v>99.999015645984286</v>
      </c>
      <c r="AB66" s="146">
        <f>200/(1+EXP(Models!$D$22*((Models!$E$22*Models!$B$4+Models!$B$5)*ChartData!B66)))</f>
        <v>83.744494281670299</v>
      </c>
      <c r="AC66" s="146">
        <f>100*EXP(-EXP(Models!$D$59*(ChartData!B66-Models!$C$59+Models!$E$59*Models!$B$4+Models!$F$59*Models!$B$5)))</f>
        <v>99.573879847924886</v>
      </c>
      <c r="AD66" s="149">
        <f>200/(1+EXP(Models!$D$23*((Models!$E$23*Models!$B$4+Models!$B$5)*ChartData!B66)))</f>
        <v>76.629431255521737</v>
      </c>
      <c r="AE66" s="149">
        <f>100*EXP(-EXP(Models!$D$60*(ChartData!B66-Models!$C$60+Models!$E$60*Models!$B$4+Models!$F$60*Models!$B$5)))</f>
        <v>99.953036211534908</v>
      </c>
      <c r="AF66" s="153">
        <f>200/(1+EXP(Models!$D$24*((Models!$E$24*Models!$B$4+Models!$B$5)*ChartData!B66)))</f>
        <v>74.402087559428779</v>
      </c>
      <c r="AG66" s="153">
        <f>100*EXP(-EXP(Models!$D$61*(ChartData!B66-Models!$C$61+Models!$E$61*Models!$B$4+Models!$F$61*Models!$B$5)))</f>
        <v>99.971745043524791</v>
      </c>
      <c r="AH66" s="266">
        <f>IF('Front Page'!$C$31&gt;0,1-'Front Page'!$C$31,"")</f>
        <v>0.995</v>
      </c>
      <c r="AI66" s="214">
        <f>Models!$B$25*Models!$I$25+(200-Models!$B$25*Models!$I$25)/(1+EXP(Models!$C$25*B66*(Models!$B$4*Models!$F$25+Models!$B$5+Models!$I$25*Models!$G$25)))</f>
        <v>78.03436019251258</v>
      </c>
      <c r="AJ66" s="214">
        <f>100*EXP(-EXP(Models!$D$62*(ChartData!B66-Models!$C$62+Models!$E$62*Models!$B$4+Models!$F$62*Models!$B$5)))</f>
        <v>99.951373451233735</v>
      </c>
      <c r="AK66" s="220">
        <f>Models!$B$26*Models!$I$26+(200-Models!$B$26*Models!$I$26)/(1+EXP(Models!$C$26*B66*(Models!$B$4*Models!$F$26+Models!$B$5+Models!$I$26*Models!$G$26)))</f>
        <v>69.385968813873859</v>
      </c>
      <c r="AL66" s="220">
        <f>100*EXP(-EXP(Models!$D$63*(ChartData!B66-Models!$C$63+Models!$E$63*Models!$B$4+Models!$F$63*Models!$B$5)))</f>
        <v>99.998300929726497</v>
      </c>
      <c r="AM66" s="226">
        <f>Models!$B$27*Models!$I$27+(200-Models!$B$27*Models!$I$27)/(1+EXP(Models!$C$27*B66*(Models!$B$4*Models!$F$27+Models!$B$5+Models!$I$27*Models!$G$27)))</f>
        <v>37.747125900206711</v>
      </c>
      <c r="AN66" s="226">
        <f>100*EXP(-EXP(Models!$D$64*(ChartData!B66-Models!$C$64+Models!$E$64*Models!$B$4+Models!$F$64*Models!$B$5)))</f>
        <v>99.999015629554464</v>
      </c>
      <c r="AO66" s="232">
        <f>Models!$B$28*Models!$I$28+(200-Models!$B$28*Models!$I$28)/(1+EXP(Models!$C$28*B66*(Models!$B$4*Models!$F$28+Models!$B$5+Models!$I$28*Models!$G$28)))</f>
        <v>74.813293390106182</v>
      </c>
      <c r="AP66" s="232">
        <f>100*EXP(-EXP(Models!$D$65*(ChartData!B66-Models!$C$65+Models!$E$65*Models!$B$4+Models!$F$65*Models!$B$5)))</f>
        <v>99.980539769203872</v>
      </c>
      <c r="AQ66" s="238">
        <f>Models!$B$29*Models!$I$29+(200-Models!$B$29*Models!$I$29)/(1+EXP(Models!$C$29*B66*(Models!$B$4*Models!$F$29+Models!$B$5+Models!$I$29*Models!$G$29)))</f>
        <v>63.915656880889976</v>
      </c>
      <c r="AR66" s="238">
        <f>100*EXP(-EXP(Models!$D$66*(ChartData!B66-Models!$C$66+Models!$E$66*Models!$B$4+Models!$F$66*Models!$B$5)))</f>
        <v>99.999935937504631</v>
      </c>
      <c r="AS66" s="244">
        <f>Models!$B$30*Models!$I$30+(200-Models!$B$30*Models!$I$30)/(1+EXP(Models!$C$30*B66*(Models!$B$4*Models!$F$30+Models!$B$5+Models!$I$30*Models!$G$30)))</f>
        <v>61.229882472428933</v>
      </c>
      <c r="AT66" s="244">
        <f>100*EXP(-EXP(Models!$D$67*(ChartData!B66-Models!$C$67+Models!$E$67*Models!$B$4+Models!$F$67*Models!$B$5)))</f>
        <v>99.998934538582603</v>
      </c>
    </row>
    <row r="67" spans="1:46" x14ac:dyDescent="0.2">
      <c r="B67">
        <v>2420</v>
      </c>
      <c r="C67">
        <f>1-'Front Page'!$C$30</f>
        <v>0.99630303030303036</v>
      </c>
      <c r="D67" s="45">
        <f t="shared" si="0"/>
        <v>62.940684008277302</v>
      </c>
      <c r="E67" s="45">
        <f t="shared" si="1"/>
        <v>99.999958186334652</v>
      </c>
      <c r="F67" s="36">
        <f>Equations!$E$4/(1+EXP(Equations!$F$4*ChartData!B67*(Equations!$G$4*Equations!$C$4+Equations!$D$4)))</f>
        <v>77.289917967541697</v>
      </c>
      <c r="G67" s="36">
        <f>Equations!$E$7*EXP(-EXP(-Equations!$F$7*(ChartData!B67-Equations!$G$7+Equations!$H$7*Equations!$C$7+Equations!$I$7*Equations!$D$7)))</f>
        <v>99.990303520605423</v>
      </c>
      <c r="H67" s="55">
        <f>Models!$B$13+Models!$C$13*EXP(Models!$D$13*ChartData!B67+(Models!$E$13*ChartData!B67*Models!$E$3))</f>
        <v>51.705722319088181</v>
      </c>
      <c r="I67" s="55">
        <f>Models!$B$50*EXP(-EXP(Models!$D$50*(ChartData!B67+Models!$C$50-(Models!$E$50*Models!$B$5))))</f>
        <v>99.799354053332266</v>
      </c>
      <c r="J67" s="57">
        <f>Models!$B$12/(1+EXP(Models!$D$12*(ChartData!B67-Models!$C$12+Models!$E$12*ChartData!B67*Models!$B$5)))</f>
        <v>6.9565831592796343E-31</v>
      </c>
      <c r="K67" s="61">
        <f>Models!$B$49*EXP(-EXP(Models!$D$49*(ChartData!B67-Models!$C$49+(Models!$E$49*ChartData!B67*Models!$B$5))))</f>
        <v>99.999979564519265</v>
      </c>
      <c r="L67" s="62">
        <f>Models!$B$15/(1+EXP(Models!$D$15*(ChartData!B67*(1+Models!$D$15*Models!$B$5)-Models!$C$15)))</f>
        <v>0.78797421225826225</v>
      </c>
      <c r="M67" s="63">
        <f>Models!$B$52*EXP(-EXP(Models!$D$52*(ChartData!B67*(1+Models!$D$52*Models!$B$5)-Models!$C$52)))</f>
        <v>99.999995827193658</v>
      </c>
      <c r="N67" s="53">
        <f>Models!$B$15/(1+EXP(Models!$D$15*(ChartData!B67-Models!$D$15+Models!$E$15*ChartData!B67*Models!$B$5)))</f>
        <v>0.39275551053144753</v>
      </c>
      <c r="O67" s="53">
        <f>Models!$B$52*EXP(-EXP(Models!$D$52*(ChartData!B67-Models!$C$52+Models!$E$52*ChartData!B67*Models!$B$5)))</f>
        <v>99.99999939585021</v>
      </c>
      <c r="P67" s="172">
        <f>Models!$B$16*Models!$I$16+(100-Models!$B$16*Models!$I$16)/(1+EXP(Models!$C$16*(ChartData!B67-Models!$E$16+Models!$B$4*Models!$F$16+Models!$B$4*Models!$G$16*Models!$I$16+Models!$B$5*Models!$H$16)))</f>
        <v>23.754849560755599</v>
      </c>
      <c r="Q67" s="172">
        <f>Models!$B$53*EXP(-EXP(Models!$D$53*(ChartData!B67+Models!$C$53+Models!$B$5*Models!$E$53+Models!$B$4*Models!$F$53)))</f>
        <v>99.999857891497683</v>
      </c>
      <c r="R67" s="136">
        <f>Models!$B$17*Models!$I$17+(100-Models!$B$17*Models!$I$17)/(1+EXP(Models!$C$17*(ChartData!B67-Models!$E$17+Models!$B$4*Models!$F$17+Models!$B$4*Models!$G$17*Models!$I$17+Models!$B$5*Models!$H$17)))</f>
        <v>53.415234115297245</v>
      </c>
      <c r="S67" s="136">
        <f>Models!$B$54*EXP(-EXP(Models!$D$54*(ChartData!B67+Models!$C$54+Models!$B$5*Models!$E$54+Models!$B$4*Models!$F$54)))</f>
        <v>99.985019621269174</v>
      </c>
      <c r="T67" s="180">
        <f>Models!$B$18*Models!$I$18+(100-Models!$B$18*Models!$I$18)/(1+EXP(Models!$C$18*(ChartData!B67-Models!$E$18+Models!$B$4*Models!$F$18+Models!$B$4*Models!$G$18*Models!$I$18+Models!$B$5*Models!$H$18)))</f>
        <v>18.285421677870179</v>
      </c>
      <c r="U67" s="180">
        <f>Models!$B$55*EXP(-EXP(Models!$D$55*(ChartData!B67+Models!$C$55+Models!$B$5*Models!$E$55+Models!$B$4*Models!$F$55)))</f>
        <v>99.999958196874957</v>
      </c>
      <c r="V67" s="36">
        <f>Models!$B$19*Models!$I$19+(100-Models!$B$19*Models!$I$19)/(1+EXP(Models!$C$19*(ChartData!$B67-Models!$E$19+Models!$B$5*ChartData!$B67*Models!$F$19+Models!$B$4*Models!$G$19)))</f>
        <v>74.107006309872432</v>
      </c>
      <c r="W67" s="36">
        <f>Models!$B$56*EXP(-EXP(Models!$D$56*(ChartData!B67+Models!$C$56+Models!$B$5*Models!$E$56+Models!$B$4*Models!$F$56)))</f>
        <v>99.959925412476977</v>
      </c>
      <c r="X67" s="158">
        <f>Models!$B$20*Models!$I$20+(100-Models!$B$20*Models!$I$20)/(1+EXP(Models!$C$20*(ChartData!$B67-Models!$E$20+Models!$B$5*ChartData!$B67*Models!$F$20+Models!$B$4*Models!$G$20)))</f>
        <v>58.082219835772314</v>
      </c>
      <c r="Y67" s="158">
        <f>Models!$B$57*EXP(-EXP(Models!$D$57*(ChartData!B67+Models!$C$57+Models!$B$5*Models!$E$57+Models!$B$4*Models!$F$57)))</f>
        <v>99.998732341035193</v>
      </c>
      <c r="Z67" s="165">
        <f>Models!$B$21*Models!$I$21+(100-Models!$B$21*Models!$I$21)/(1+EXP(Models!$C$21*(ChartData!$B67-Models!$E$21+Models!$B$5*ChartData!$B67*Models!$F$21+Models!$B$4*Models!$G$21)))</f>
        <v>59.309927978965256</v>
      </c>
      <c r="AA67" s="165">
        <f>Models!$B$58*EXP(-EXP(Models!$D$58*(ChartData!B67+Models!$C$58+Models!$B$5*Models!$E$58+Models!$B$4*Models!$F$58)))</f>
        <v>99.999277235160719</v>
      </c>
      <c r="AB67" s="146">
        <f>200/(1+EXP(Models!$D$22*((Models!$E$22*Models!$B$4+Models!$B$5)*ChartData!B67)))</f>
        <v>83.269244354454614</v>
      </c>
      <c r="AC67" s="146">
        <f>100*EXP(-EXP(Models!$D$59*(ChartData!B67-Models!$C$59+Models!$E$59*Models!$B$4+Models!$F$59*Models!$B$5)))</f>
        <v>99.627756341644584</v>
      </c>
      <c r="AD67" s="149">
        <f>200/(1+EXP(Models!$D$23*((Models!$E$23*Models!$B$4+Models!$B$5)*ChartData!B67)))</f>
        <v>75.960039195575092</v>
      </c>
      <c r="AE67" s="149">
        <f>100*EXP(-EXP(Models!$D$60*(ChartData!B67-Models!$C$60+Models!$E$60*Models!$B$4+Models!$F$60*Models!$B$5)))</f>
        <v>99.961580636746461</v>
      </c>
      <c r="AF67" s="153">
        <f>200/(1+EXP(Models!$D$24*((Models!$E$24*Models!$B$4+Models!$B$5)*ChartData!B67)))</f>
        <v>73.674820607877479</v>
      </c>
      <c r="AG67" s="153">
        <f>100*EXP(-EXP(Models!$D$61*(ChartData!B67-Models!$C$61+Models!$E$61*Models!$B$4+Models!$F$61*Models!$B$5)))</f>
        <v>99.977231742933341</v>
      </c>
      <c r="AH67" s="266">
        <f>IF('Front Page'!$C$31&gt;0,1-'Front Page'!$C$31,"")</f>
        <v>0.995</v>
      </c>
      <c r="AI67" s="214">
        <f>Models!$B$25*Models!$I$25+(200-Models!$B$25*Models!$I$25)/(1+EXP(Models!$C$25*B67*(Models!$B$4*Models!$F$25+Models!$B$5+Models!$I$25*Models!$G$25)))</f>
        <v>77.402250828616687</v>
      </c>
      <c r="AJ67" s="214">
        <f>100*EXP(-EXP(Models!$D$62*(ChartData!B67-Models!$C$62+Models!$E$62*Models!$B$4+Models!$F$62*Models!$B$5)))</f>
        <v>99.959924970842337</v>
      </c>
      <c r="AK67" s="220">
        <f>Models!$B$26*Models!$I$26+(200-Models!$B$26*Models!$I$26)/(1+EXP(Models!$C$26*B67*(Models!$B$4*Models!$F$26+Models!$B$5+Models!$I$26*Models!$G$26)))</f>
        <v>68.534632497413455</v>
      </c>
      <c r="AL67" s="220">
        <f>100*EXP(-EXP(Models!$D$63*(ChartData!B67-Models!$C$63+Models!$E$63*Models!$B$4+Models!$F$63*Models!$B$5)))</f>
        <v>99.998732025989909</v>
      </c>
      <c r="AM67" s="226">
        <f>Models!$B$27*Models!$I$27+(200-Models!$B$27*Models!$I$27)/(1+EXP(Models!$C$27*B67*(Models!$B$4*Models!$F$27+Models!$B$5+Models!$I$27*Models!$G$27)))</f>
        <v>36.616434436418814</v>
      </c>
      <c r="AN67" s="226">
        <f>100*EXP(-EXP(Models!$D$64*(ChartData!B67-Models!$C$64+Models!$E$64*Models!$B$4+Models!$F$64*Models!$B$5)))</f>
        <v>99.999277223097067</v>
      </c>
      <c r="AO67" s="232">
        <f>Models!$B$28*Models!$I$28+(200-Models!$B$28*Models!$I$28)/(1+EXP(Models!$C$28*B67*(Models!$B$4*Models!$F$28+Models!$B$5+Models!$I$28*Models!$G$28)))</f>
        <v>74.096591838002382</v>
      </c>
      <c r="AP67" s="232">
        <f>100*EXP(-EXP(Models!$D$65*(ChartData!B67-Models!$C$65+Models!$E$65*Models!$B$4+Models!$F$65*Models!$B$5)))</f>
        <v>99.985022435921792</v>
      </c>
      <c r="AQ67" s="238">
        <f>Models!$B$29*Models!$I$29+(200-Models!$B$29*Models!$I$29)/(1+EXP(Models!$C$29*B67*(Models!$B$4*Models!$F$29+Models!$B$5+Models!$I$29*Models!$G$29)))</f>
        <v>62.940684008277302</v>
      </c>
      <c r="AR67" s="238">
        <f>100*EXP(-EXP(Models!$D$66*(ChartData!B67-Models!$C$66+Models!$E$66*Models!$B$4+Models!$F$66*Models!$B$5)))</f>
        <v>99.999958186334652</v>
      </c>
      <c r="AS67" s="244">
        <f>Models!$B$30*Models!$I$30+(200-Models!$B$30*Models!$I$30)/(1+EXP(Models!$C$30*B67*(Models!$B$4*Models!$F$30+Models!$B$5+Models!$I$30*Models!$G$30)))</f>
        <v>60.128978353952569</v>
      </c>
      <c r="AT67" s="244">
        <f>100*EXP(-EXP(Models!$D$67*(ChartData!B67-Models!$C$67+Models!$E$67*Models!$B$4+Models!$F$67*Models!$B$5)))</f>
        <v>99.999246226595332</v>
      </c>
    </row>
    <row r="68" spans="1:46" x14ac:dyDescent="0.2">
      <c r="B68">
        <v>2500</v>
      </c>
      <c r="C68">
        <f>1-'Front Page'!$C$30</f>
        <v>0.99630303030303036</v>
      </c>
      <c r="D68" s="45">
        <f t="shared" ref="D68:D69" si="3">IF($A$4=1,F68,IF($A$4=2,AB68,IF($A$4=4,AF68,IF($A$4=5,N68,IF($A$4=3,AD68,IF($A$4=6,AQ68,IF($A$4=7,AO68,IF($A$4=8,AS68,IF($A$4=9,AI68,IF($A$4=10,AK68,IF($A$4=11,AM68)))))))))))</f>
        <v>61.836355180081789</v>
      </c>
      <c r="E68" s="45">
        <f t="shared" ref="E68" si="4">IF($A$62="reversed",NA(),IF($A$4=1,G68,IF($A$4=2,AC68,IF($A$4=4,AG68,IF($A$4=5,O68,IF($A$4=3,AE68,IF($A$4=6,AR68,IF($A$4=7,AP68,IF($A$4=8,AT68,IF($A$4=9,AJ68,IF($A$4=10,AL68,IF($A$4=11,AN68))))))))))))</f>
        <v>99.999974321879449</v>
      </c>
      <c r="F68" s="36">
        <f>Equations!$E$4/(1+EXP(Equations!$F$4*ChartData!B68*(Equations!$G$4*Equations!$C$4+Equations!$D$4)))</f>
        <v>76.566526142755848</v>
      </c>
      <c r="G68" s="36">
        <f>Equations!$E$7*EXP(-EXP(-Equations!$F$7*(ChartData!B68-Equations!$G$7+Equations!$H$7*Equations!$C$7+Equations!$I$7*Equations!$D$7)))</f>
        <v>99.992586265561584</v>
      </c>
      <c r="H68" s="55">
        <f>Models!$B$13+Models!$C$13*EXP(Models!$D$13*ChartData!B68+(Models!$E$13*ChartData!B68*Models!$E$3))</f>
        <v>50.73871369460614</v>
      </c>
      <c r="I68" s="55">
        <f>Models!$B$50*EXP(-EXP(Models!$D$50*(ChartData!B68+Models!$C$50-(Models!$E$50*Models!$B$5))))</f>
        <v>99.832646454566415</v>
      </c>
      <c r="J68" s="57">
        <f>Models!$B$12/(1+EXP(Models!$D$12*(ChartData!B68-Models!$C$12+Models!$E$12*ChartData!B68*Models!$B$5)))</f>
        <v>3.730392743984466E-32</v>
      </c>
      <c r="K68" s="61">
        <f>Models!$B$49*EXP(-EXP(Models!$D$49*(ChartData!B68-Models!$C$49+(Models!$E$49*ChartData!B68*Models!$B$5))))</f>
        <v>99.999988338641472</v>
      </c>
      <c r="L68" s="62">
        <f>Models!$B$15/(1+EXP(Models!$D$15*(ChartData!B68*(1+Models!$D$15*Models!$B$5)-Models!$C$15)))</f>
        <v>0.65602332937468466</v>
      </c>
      <c r="M68" s="63">
        <f>Models!$B$52*EXP(-EXP(Models!$D$52*(ChartData!B68*(1+Models!$D$52*Models!$B$5)-Models!$C$52)))</f>
        <v>99.999997739430455</v>
      </c>
      <c r="N68" s="53">
        <f>Models!$B$15/(1+EXP(Models!$D$15*(ChartData!B68-Models!$D$15+Models!$E$15*ChartData!B68*Models!$B$5)))</f>
        <v>0.31976039493503305</v>
      </c>
      <c r="O68" s="53">
        <f>Models!$B$52*EXP(-EXP(Models!$D$52*(ChartData!B68-Models!$C$52+Models!$E$52*ChartData!B68*Models!$B$5)))</f>
        <v>99.999999692963954</v>
      </c>
      <c r="P68" s="172">
        <f>Models!$B$16*Models!$I$16+(100-Models!$B$16*Models!$I$16)/(1+EXP(Models!$C$16*(ChartData!B68-Models!$E$16+Models!$B$4*Models!$F$16+Models!$B$4*Models!$G$16*Models!$I$16+Models!$B$5*Models!$H$16)))</f>
        <v>20.596077708558774</v>
      </c>
      <c r="Q68" s="172">
        <f>Models!$B$53*EXP(-EXP(Models!$D$53*(ChartData!B68+Models!$C$53+Models!$B$5*Models!$E$53+Models!$B$4*Models!$F$53)))</f>
        <v>99.999909265730125</v>
      </c>
      <c r="R68" s="136">
        <f>Models!$B$17*Models!$I$17+(100-Models!$B$17*Models!$I$17)/(1+EXP(Models!$C$17*(ChartData!B68-Models!$E$17+Models!$B$4*Models!$F$17+Models!$B$4*Models!$G$17*Models!$I$17+Models!$B$5*Models!$H$17)))</f>
        <v>49.787561603328541</v>
      </c>
      <c r="S68" s="136">
        <f>Models!$B$54*EXP(-EXP(Models!$D$54*(ChartData!B68+Models!$C$54+Models!$B$5*Models!$E$54+Models!$B$4*Models!$F$54)))</f>
        <v>99.988893698691527</v>
      </c>
      <c r="T68" s="180">
        <f>Models!$B$18*Models!$I$18+(100-Models!$B$18*Models!$I$18)/(1+EXP(Models!$C$18*(ChartData!B68-Models!$E$18+Models!$B$4*Models!$F$18+Models!$B$4*Models!$G$18*Models!$I$18+Models!$B$5*Models!$H$18)))</f>
        <v>16.496412000714809</v>
      </c>
      <c r="U68" s="180">
        <f>Models!$B$55*EXP(-EXP(Models!$D$55*(ChartData!B68+Models!$C$55+Models!$B$5*Models!$E$55+Models!$B$4*Models!$F$55)))</f>
        <v>99.999974328557713</v>
      </c>
      <c r="V68" s="36">
        <f>Models!$B$19*Models!$I$19+(100-Models!$B$19*Models!$I$19)/(1+EXP(Models!$C$19*(ChartData!$B68-Models!$E$19+Models!$B$5*ChartData!$B68*Models!$F$19+Models!$B$4*Models!$G$19)))</f>
        <v>73.139066415556783</v>
      </c>
      <c r="W68" s="36">
        <f>Models!$B$56*EXP(-EXP(Models!$D$56*(ChartData!B68+Models!$C$56+Models!$B$5*Models!$E$56+Models!$B$4*Models!$F$56)))</f>
        <v>99.967873341850805</v>
      </c>
      <c r="X68" s="158">
        <f>Models!$B$20*Models!$I$20+(100-Models!$B$20*Models!$I$20)/(1+EXP(Models!$C$20*(ChartData!$B68-Models!$E$20+Models!$B$5*ChartData!$B68*Models!$F$20+Models!$B$4*Models!$G$20)))</f>
        <v>56.282865728995709</v>
      </c>
      <c r="Y68" s="158">
        <f>Models!$B$57*EXP(-EXP(Models!$D$57*(ChartData!B68+Models!$C$57+Models!$B$5*Models!$E$57+Models!$B$4*Models!$F$57)))</f>
        <v>99.999092721966036</v>
      </c>
      <c r="Z68" s="165">
        <f>Models!$B$21*Models!$I$21+(100-Models!$B$21*Models!$I$21)/(1+EXP(Models!$C$21*(ChartData!$B68-Models!$E$21+Models!$B$5*ChartData!$B68*Models!$F$21+Models!$B$4*Models!$G$21)))</f>
        <v>57.557380370854645</v>
      </c>
      <c r="AA68" s="165">
        <f>Models!$B$58*EXP(-EXP(Models!$D$58*(ChartData!B68+Models!$C$58+Models!$B$5*Models!$E$58+Models!$B$4*Models!$F$58)))</f>
        <v>99.999492217611206</v>
      </c>
      <c r="AB68" s="146">
        <f>200/(1+EXP(Models!$D$22*((Models!$E$22*Models!$B$4+Models!$B$5)*ChartData!B68)))</f>
        <v>82.727053316950844</v>
      </c>
      <c r="AC68" s="146">
        <f>100*EXP(-EXP(Models!$D$59*(ChartData!B68-Models!$C$59+Models!$E$59*Models!$B$4+Models!$F$59*Models!$B$5)))</f>
        <v>99.681053336331203</v>
      </c>
      <c r="AD68" s="149">
        <f>200/(1+EXP(Models!$D$23*((Models!$E$23*Models!$B$4+Models!$B$5)*ChartData!B68)))</f>
        <v>75.19781323387808</v>
      </c>
      <c r="AE68" s="149">
        <f>100*EXP(-EXP(Models!$D$60*(ChartData!B68-Models!$C$60+Models!$E$60*Models!$B$4+Models!$F$60*Models!$B$5)))</f>
        <v>99.969459642971287</v>
      </c>
      <c r="AF68" s="153">
        <f>200/(1+EXP(Models!$D$24*((Models!$E$24*Models!$B$4+Models!$B$5)*ChartData!B68)))</f>
        <v>72.847311249933725</v>
      </c>
      <c r="AG68" s="153">
        <f>100*EXP(-EXP(Models!$D$61*(ChartData!B68-Models!$C$61+Models!$E$61*Models!$B$4+Models!$F$61*Models!$B$5)))</f>
        <v>99.982210360642313</v>
      </c>
      <c r="AH68" s="266">
        <f>IF('Front Page'!$C$31&gt;0,1-'Front Page'!$C$31,"")</f>
        <v>0.995</v>
      </c>
      <c r="AI68" s="214">
        <f>Models!$B$25*Models!$I$25+(200-Models!$B$25*Models!$I$25)/(1+EXP(Models!$C$25*B68*(Models!$B$4*Models!$F$25+Models!$B$5+Models!$I$25*Models!$G$25)))</f>
        <v>76.682166109359585</v>
      </c>
      <c r="AJ68" s="214">
        <f>100*EXP(-EXP(Models!$D$62*(ChartData!B68-Models!$C$62+Models!$E$62*Models!$B$4+Models!$F$62*Models!$B$5)))</f>
        <v>99.96787298779077</v>
      </c>
      <c r="AK68" s="220">
        <f>Models!$B$26*Models!$I$26+(200-Models!$B$26*Models!$I$26)/(1+EXP(Models!$C$26*B68*(Models!$B$4*Models!$F$26+Models!$B$5+Models!$I$26*Models!$G$26)))</f>
        <v>67.5678448664802</v>
      </c>
      <c r="AL68" s="220">
        <f>100*EXP(-EXP(Models!$D$63*(ChartData!B68-Models!$C$63+Models!$E$63*Models!$B$4+Models!$F$63*Models!$B$5)))</f>
        <v>99.999092489224097</v>
      </c>
      <c r="AM68" s="226">
        <f>Models!$B$27*Models!$I$27+(200-Models!$B$27*Models!$I$27)/(1+EXP(Models!$C$27*B68*(Models!$B$4*Models!$F$27+Models!$B$5+Models!$I$27*Models!$G$27)))</f>
        <v>35.386042545341276</v>
      </c>
      <c r="AN68" s="226">
        <f>100*EXP(-EXP(Models!$D$64*(ChartData!B68-Models!$C$64+Models!$E$64*Models!$B$4+Models!$F$64*Models!$B$5)))</f>
        <v>99.999492209135809</v>
      </c>
      <c r="AO68" s="232">
        <f>Models!$B$28*Models!$I$28+(200-Models!$B$28*Models!$I$28)/(1+EXP(Models!$C$28*B68*(Models!$B$4*Models!$F$28+Models!$B$5+Models!$I$28*Models!$G$28)))</f>
        <v>73.280987274793731</v>
      </c>
      <c r="AP68" s="232">
        <f>100*EXP(-EXP(Models!$D$65*(ChartData!B68-Models!$C$65+Models!$E$65*Models!$B$4+Models!$F$65*Models!$B$5)))</f>
        <v>99.988895785486932</v>
      </c>
      <c r="AQ68" s="238">
        <f>Models!$B$29*Models!$I$29+(200-Models!$B$29*Models!$I$29)/(1+EXP(Models!$C$29*B68*(Models!$B$4*Models!$F$29+Models!$B$5+Models!$I$29*Models!$G$29)))</f>
        <v>61.836355180081789</v>
      </c>
      <c r="AR68" s="238">
        <f>100*EXP(-EXP(Models!$D$66*(ChartData!B68-Models!$C$66+Models!$E$66*Models!$B$4+Models!$F$66*Models!$B$5)))</f>
        <v>99.999974321879449</v>
      </c>
      <c r="AS68" s="244">
        <f>Models!$B$30*Models!$I$30+(200-Models!$B$30*Models!$I$30)/(1+EXP(Models!$C$30*B68*(Models!$B$4*Models!$F$30+Models!$B$5+Models!$I$30*Models!$G$30)))</f>
        <v>58.88933039425681</v>
      </c>
      <c r="AT68" s="244">
        <f>100*EXP(-EXP(Models!$D$67*(ChartData!B68-Models!$C$67+Models!$E$67*Models!$B$4+Models!$F$67*Models!$B$5)))</f>
        <v>99.999492457206415</v>
      </c>
    </row>
    <row r="69" spans="1:46" x14ac:dyDescent="0.2">
      <c r="C69" s="48" t="s">
        <v>177</v>
      </c>
      <c r="D69" s="45">
        <f t="shared" si="3"/>
        <v>22.992715459168558</v>
      </c>
      <c r="E69" s="45">
        <f t="shared" ref="E69" si="5">IF($A$4=1,G69,IF($A$4=2,AC69,IF($A$4=4,AG69,IF($A$4=5,O69,IF($A$4=3,AE69,IF($A$4=6,AR69,IF($A$4=7,AP69,IF($A$4=8,AT69,IF($A$4=9,AJ69,IF($A$4=10,AL69,IF($A$4=11,AN69)))))))))))</f>
        <v>928.71778079319336</v>
      </c>
      <c r="F69" s="122">
        <f>Models!O14</f>
        <v>38.708467683617727</v>
      </c>
      <c r="G69" s="123">
        <f>Models!O51</f>
        <v>1334.4021299719727</v>
      </c>
      <c r="H69" s="124">
        <f>Models!O13</f>
        <v>12.216454798250243</v>
      </c>
      <c r="I69" s="124">
        <f>Models!O50</f>
        <v>2150.4013026964558</v>
      </c>
      <c r="J69" s="144"/>
      <c r="K69" s="144"/>
      <c r="L69" s="145">
        <f>Models!O42</f>
        <v>0</v>
      </c>
      <c r="M69" s="145">
        <f>Models!P52</f>
        <v>844.92901496523677</v>
      </c>
      <c r="N69" s="126">
        <f>Models!O15</f>
        <v>15.011812113617927</v>
      </c>
      <c r="O69" s="126">
        <f>Models!O52</f>
        <v>844.92901496523848</v>
      </c>
      <c r="P69" s="174">
        <f>(1/Models!C16)*LN((100-Models!E4)/(Models!E4-Models!B16*Models!I16))+Models!E16-Models!B4*Models!F16-Models!B4*Models!G16*Models!I16-Models!B5*Models!H16</f>
        <v>-531.85730525369945</v>
      </c>
      <c r="Q69" s="174">
        <f>(LN(-LN(Models!$E$4/Models!$B$53))/Models!$D$53)-Models!$C$53-Models!$B$5*Models!$E$53-Models!$B$4*Models!$F$53</f>
        <v>1017.46465715933</v>
      </c>
      <c r="R69" s="177">
        <f>(1/Models!$C$17)*LN((100-Models!$E$4)/(Models!$E$4-Models!$B$17*Models!$I$17))+Models!$E$17-Models!$B$4*Models!$F$17-Models!$B$4*Models!$G$17*Models!$I$17-Models!$B$5*Models!$H$17</f>
        <v>-585.62376126409322</v>
      </c>
      <c r="S69" s="177">
        <f>(LN(-LN(Models!$E$4/Models!$B$54))/Models!$D$54)-Models!$C$54-Models!$B$5*Models!$E$54-Models!$B$4*Models!$F$54</f>
        <v>1562.4587389512255</v>
      </c>
      <c r="T69" s="182">
        <f>(1/Models!$C$18)*LN((100-Models!$E$4)/(Models!$E$4-Models!$B$18*Models!$I$18))+Models!$E$18-Models!$B$4*Models!$F$18-Models!$B$4*Models!$G$18*Models!$I$18-Models!$B$5*Models!$H$18</f>
        <v>-386.91207024420066</v>
      </c>
      <c r="U69" s="182">
        <f>(LN(-LN(Models!$E$4/Models!$B$55))/Models!$D$55)-Models!$C$55-Models!$B$5*Models!$E$55-Models!$B$4*Models!$F$55</f>
        <v>928.70088446421676</v>
      </c>
      <c r="V69" s="123">
        <f>Models!O19</f>
        <v>-4874.1804514064297</v>
      </c>
      <c r="W69" s="123">
        <f>Models!O56</f>
        <v>1615.4292449871384</v>
      </c>
      <c r="X69" s="160">
        <f>Models!O20</f>
        <v>-3316.5186631830998</v>
      </c>
      <c r="Y69" s="160">
        <f>Models!O57</f>
        <v>1062.105523827064</v>
      </c>
      <c r="Z69" s="167">
        <f>Models!O21</f>
        <v>-2858.8545605528375</v>
      </c>
      <c r="AA69" s="167">
        <f>Models!O58</f>
        <v>1006.1445397291927</v>
      </c>
      <c r="AB69" s="147">
        <f>Models!O22</f>
        <v>52.971885930893549</v>
      </c>
      <c r="AC69" s="147">
        <f>Models!O59</f>
        <v>2423.5545708413638</v>
      </c>
      <c r="AD69" s="151">
        <f>Models!O23</f>
        <v>36.487657165771957</v>
      </c>
      <c r="AE69" s="151">
        <f>Models!O60</f>
        <v>1630.3640843454923</v>
      </c>
      <c r="AF69" s="155">
        <f>Models!O24</f>
        <v>33.185222576729643</v>
      </c>
      <c r="AG69" s="155">
        <f>Models!O61</f>
        <v>1515.842764684071</v>
      </c>
      <c r="AI69" s="216">
        <f>Models!$O25</f>
        <v>38.90779484893735</v>
      </c>
      <c r="AJ69" s="216">
        <f>Models!$O62</f>
        <v>1615.4332332871384</v>
      </c>
      <c r="AK69" s="222">
        <f>Models!$O26</f>
        <v>27.468986944974539</v>
      </c>
      <c r="AL69" s="222">
        <f>Models!$O63</f>
        <v>1062.1324813041651</v>
      </c>
      <c r="AM69" s="228">
        <f>Models!$O27</f>
        <v>209.43509232149063</v>
      </c>
      <c r="AN69" s="228">
        <f>Models!$O64</f>
        <v>1006.1483220291925</v>
      </c>
      <c r="AO69" s="234">
        <f>Models!$O28</f>
        <v>33.751895911357771</v>
      </c>
      <c r="AP69" s="234">
        <f>Models!$O65</f>
        <v>1562.4085007512256</v>
      </c>
      <c r="AQ69" s="240">
        <f>Models!$O29</f>
        <v>22.992715459168558</v>
      </c>
      <c r="AR69" s="240">
        <f>Models!$O66</f>
        <v>928.71778079319336</v>
      </c>
      <c r="AS69" s="246">
        <f>Models!$O30</f>
        <v>259.00393883090334</v>
      </c>
      <c r="AT69" s="246">
        <f>Models!$O67</f>
        <v>1166.4967496486063</v>
      </c>
    </row>
    <row r="70" spans="1:46" x14ac:dyDescent="0.2">
      <c r="C70" s="48" t="s">
        <v>290</v>
      </c>
      <c r="D70" s="121">
        <f>IF(D69&lt;0,0,D69)</f>
        <v>22.992715459168558</v>
      </c>
      <c r="E70" s="121"/>
      <c r="F70" s="122"/>
      <c r="G70" s="123"/>
      <c r="H70" s="124"/>
      <c r="I70" s="124"/>
      <c r="K70" s="57"/>
      <c r="L70" s="125"/>
      <c r="M70" s="125"/>
      <c r="N70" s="126"/>
      <c r="O70" s="127"/>
      <c r="P70" s="174"/>
      <c r="Q70" s="174"/>
      <c r="R70" s="177"/>
      <c r="S70" s="177"/>
      <c r="T70" s="182"/>
      <c r="U70" s="182"/>
      <c r="V70" s="128"/>
      <c r="W70" s="128"/>
      <c r="X70" s="161"/>
      <c r="Y70" s="161"/>
      <c r="Z70" s="168"/>
      <c r="AA70" s="168"/>
    </row>
    <row r="71" spans="1:46" x14ac:dyDescent="0.2">
      <c r="C71" s="47"/>
      <c r="D71" s="45" t="str">
        <f t="shared" ref="D71" si="6">IF($A$4=1,F71,IF($A$4=2,H71,IF($A$4=4,L71,IF($A$4=5,N71,IF($A$4=3,J71,IF($A$4=6,P71,IF($A$4=7,R71,IF($A$4=8,T71,IF($A$4=9,V71,IF($A$4=10,X71,IF($A$4=11,Z71)))))))))))</f>
        <v>(ctwr)</v>
      </c>
      <c r="E71" s="45" t="str">
        <f t="shared" ref="E71" si="7">IF($A$4=1,G71,IF($A$4=2,I71,IF($A$4=4,M71,IF($A$4=5,O71,IF($A$4=3,K71,IF($A$4=6,Q71,IF($A$4=7,S71,IF($A$4=8,U71,IF($A$4=9,W71,IF($A$4=10,Y71,IF($A$4=11,AA71)))))))))))</f>
        <v>(cwfp)</v>
      </c>
      <c r="F71" s="43" t="s">
        <v>178</v>
      </c>
      <c r="G71" s="43" t="s">
        <v>179</v>
      </c>
      <c r="H71" s="54" t="s">
        <v>178</v>
      </c>
      <c r="I71" s="54" t="s">
        <v>179</v>
      </c>
      <c r="L71" s="62" t="s">
        <v>178</v>
      </c>
      <c r="M71" s="62" t="s">
        <v>179</v>
      </c>
      <c r="N71" s="43" t="s">
        <v>178</v>
      </c>
      <c r="O71" s="43" t="s">
        <v>179</v>
      </c>
      <c r="P71" s="171" t="s">
        <v>178</v>
      </c>
      <c r="Q71" s="171" t="s">
        <v>179</v>
      </c>
      <c r="R71" s="176" t="s">
        <v>178</v>
      </c>
      <c r="S71" s="176" t="s">
        <v>179</v>
      </c>
      <c r="T71" s="179" t="s">
        <v>219</v>
      </c>
      <c r="U71" s="179" t="s">
        <v>229</v>
      </c>
      <c r="V71" s="80" t="s">
        <v>219</v>
      </c>
      <c r="W71" s="80" t="s">
        <v>229</v>
      </c>
      <c r="X71" s="162" t="s">
        <v>219</v>
      </c>
      <c r="Y71" s="162" t="s">
        <v>229</v>
      </c>
      <c r="Z71" s="169" t="s">
        <v>219</v>
      </c>
      <c r="AA71" s="169" t="s">
        <v>229</v>
      </c>
      <c r="AB71" s="80" t="s">
        <v>219</v>
      </c>
      <c r="AC71" s="80" t="s">
        <v>229</v>
      </c>
      <c r="AD71" s="162" t="s">
        <v>219</v>
      </c>
      <c r="AE71" s="162" t="s">
        <v>229</v>
      </c>
      <c r="AF71" s="169" t="s">
        <v>219</v>
      </c>
      <c r="AG71" s="169" t="s">
        <v>229</v>
      </c>
      <c r="AI71" s="217" t="s">
        <v>219</v>
      </c>
      <c r="AJ71" s="217" t="s">
        <v>229</v>
      </c>
      <c r="AK71" s="223" t="s">
        <v>219</v>
      </c>
      <c r="AL71" s="223" t="s">
        <v>229</v>
      </c>
      <c r="AM71" s="229" t="s">
        <v>219</v>
      </c>
      <c r="AN71" s="229" t="s">
        <v>229</v>
      </c>
      <c r="AO71" s="235" t="s">
        <v>219</v>
      </c>
      <c r="AP71" s="235" t="s">
        <v>229</v>
      </c>
      <c r="AQ71" s="241" t="s">
        <v>219</v>
      </c>
      <c r="AR71" s="241" t="s">
        <v>229</v>
      </c>
      <c r="AS71" s="247" t="s">
        <v>219</v>
      </c>
      <c r="AT71" s="247" t="s">
        <v>229</v>
      </c>
    </row>
    <row r="72" spans="1:46" x14ac:dyDescent="0.2">
      <c r="A72" s="98" t="s">
        <v>237</v>
      </c>
      <c r="B72" s="21">
        <f>'Front Page'!F13</f>
        <v>100</v>
      </c>
      <c r="F72" s="100">
        <f>Equations!$E$4/(1+EXP(Equations!$F$4*ChartData!B72*(Equations!$G$4*Equations!$C$4+Equations!$D$4)))</f>
        <v>99.044944335462162</v>
      </c>
      <c r="G72" s="100">
        <f>Equations!$E$7*EXP(-EXP(-Equations!$F$7*(ChartData!B72-Equations!$G$7+Equations!$H$7*Equations!$C$7+Equations!$I$7*Equations!$D$7)))</f>
        <v>79.208661718036979</v>
      </c>
      <c r="H72" s="101">
        <f>Models!$B$13+Models!$C$13*EXP(Models!$D$13*ChartData!B72+(Models!$E$13*ChartData!B72*Models!$E$3))</f>
        <v>97.022879174474696</v>
      </c>
      <c r="I72" s="101">
        <f>Models!$B$50*EXP(-EXP(Models!$D$50*(ChartData!B72+Models!$C$50-(Models!$E$50*Models!$B$5))))</f>
        <v>67.768247895575911</v>
      </c>
      <c r="J72" s="102">
        <f>Models!$B$12/(1+EXP(Models!$D$12*(ChartData!B72-Models!$C$12+Models!$E$12*ChartData!B72*Models!$B$5)))</f>
        <v>120.99701762138072</v>
      </c>
      <c r="K72" s="103">
        <f>Models!$B$49*EXP(-EXP(Models!$D$49*(ChartData!B72-Models!$C$49+(Models!$E$49*ChartData!B72*Models!$B$5))))</f>
        <v>9.2934415704147604</v>
      </c>
      <c r="L72" s="104">
        <f>Models!$B$15/(1+EXP(Models!$D$15*(ChartData!B72*(1+Models!$D$15*Models!$B$5)-Models!$C$15)))</f>
        <v>90.09973390143206</v>
      </c>
      <c r="M72" s="105">
        <f>Models!$B$52*EXP(-EXP(Models!$D$52*(ChartData!B72*(1+Models!$D$52*Models!$B$5)-Models!$C$52)))</f>
        <v>11.186900903738255</v>
      </c>
      <c r="N72" s="106">
        <f>Models!$B$15/(1+EXP(Models!$D$15*(ChartData!B72-Models!$D$15+Models!$E$15*ChartData!B72*Models!$B$5)))</f>
        <v>87.197095626141191</v>
      </c>
      <c r="O72" s="106">
        <f>Models!$B$52*EXP(-EXP(Models!$D$52*(ChartData!B72-Models!$C$52+Models!$E$52*ChartData!B72*Models!$B$5)))</f>
        <v>13.234947989821343</v>
      </c>
      <c r="P72" s="175">
        <f>Models!$B$16*Models!$I$16+(100-Models!$B$16*Models!$I$16)/(1+EXP(Models!$C$16*(ChartData!B72-Models!$E$16+Models!$B$4*Models!$F$16+Models!$B$4*Models!$G$16*Models!$I$16+Models!$B$5*Models!$H$16)))</f>
        <v>98.446423660502518</v>
      </c>
      <c r="Q72" s="175">
        <f>Models!$B$53*EXP(-EXP(Models!$D$53*(ChartData!B72+Models!$C$53+Models!$B$5*Models!$E$53+Models!$B$4*Models!$F$53)))</f>
        <v>52.95769984489128</v>
      </c>
      <c r="R72" s="178">
        <f>Models!$B$17*Models!$I$17+(100-Models!$B$17*Models!$I$17)/(1+EXP(Models!$C$17*(ChartData!B72-Models!$E$17+Models!$B$4*Models!$F$17+Models!$B$4*Models!$G$17*Models!$I$17+Models!$B$5*Models!$H$17)))</f>
        <v>98.727151142467136</v>
      </c>
      <c r="S72" s="178">
        <f>Models!$B$54*EXP(-EXP(Models!$D$54*(ChartData!B72+Models!$C$54+Models!$B$5*Models!$E$54+Models!$B$4*Models!$F$54)))</f>
        <v>41.481354552135613</v>
      </c>
      <c r="T72" s="183">
        <f>Models!$B$18*Models!$I$18+(100-Models!$B$18*Models!$I$18)/(1+EXP(Models!$C$18*(ChartData!B72-Models!$E$18+Models!$B$4*Models!$F$18+Models!$B$4*Models!$G$18*Models!$I$18+Models!$B$5*Models!$H$18)))</f>
        <v>98.633001482312949</v>
      </c>
      <c r="U72" s="183">
        <f>Models!$B$55*EXP(-EXP(Models!$D$55*(ChartData!B72+Models!$C$55+Models!$B$5*Models!$E$55+Models!$B$4*Models!$F$55)))</f>
        <v>56.081173203174892</v>
      </c>
      <c r="V72" s="36">
        <f>Models!$B$19*Models!$I$19+(100-Models!$B$19*Models!$I$19)/(1+EXP(Models!$C$19*(ChartData!$B72-Models!$E$19+Models!$B$5*ChartData!$B72*Models!$F$19+Models!$B$4*Models!$G$19)))</f>
        <v>92.394027465953428</v>
      </c>
      <c r="W72" s="36">
        <f>Models!$B$56*EXP(-EXP(Models!$D$56*(ChartData!B72+Models!$C$56+Models!$B$5*Models!$E$56+Models!$B$4*Models!$F$56)))</f>
        <v>78.341337237184987</v>
      </c>
      <c r="X72" s="158">
        <f>Models!$B$20*Models!$I$20+(100-Models!$B$20*Models!$I$20)/(1+EXP(Models!$C$20*(ChartData!$B72-Models!$E$20+Models!$B$5*ChartData!$B72*Models!$F$20+Models!$B$4*Models!$G$20)))</f>
        <v>92.111792963763079</v>
      </c>
      <c r="Y72" s="158">
        <f>Models!$B$57*EXP(-EXP(Models!$D$57*(ChartData!B72+Models!$C$57+Models!$B$5*Models!$E$57+Models!$B$4*Models!$F$57)))</f>
        <v>81.315269201397356</v>
      </c>
      <c r="Z72" s="165">
        <f>Models!$B$21*Models!$I$21+(100-Models!$B$21*Models!$I$21)/(1+EXP(Models!$C$21*(ChartData!$B72-Models!$E$21+Models!$B$5*ChartData!$B72*Models!$F$21+Models!$B$4*Models!$G$21)))</f>
        <v>93.219837784835377</v>
      </c>
      <c r="AA72" s="165">
        <f>Models!$B$58*EXP(-EXP(Models!$D$58*(ChartData!B72+Models!$C$58+Models!$B$5*Models!$E$58+Models!$B$4*Models!$F$58)))</f>
        <v>81.712424527801502</v>
      </c>
      <c r="AB72" s="146">
        <f>200/(1+EXP(Models!$D$22*((Models!$E$22*Models!$B$4+Models!$B$5)*ChartData!B72)))</f>
        <v>99.302096489243866</v>
      </c>
      <c r="AC72" s="146">
        <f>100*EXP(-EXP(Models!$D$59*(ChartData!B72-Models!$C$59+Models!$E$59*Models!$B$4+Models!$F$59*Models!$B$5)))</f>
        <v>71.746931593201325</v>
      </c>
      <c r="AD72" s="149">
        <f>200/(1+EXP(Models!$D$23*((Models!$E$23*Models!$B$4+Models!$B$5)*ChartData!B72)))</f>
        <v>98.98681901751722</v>
      </c>
      <c r="AE72" s="149">
        <f>100*EXP(-EXP(Models!$D$60*(ChartData!B72-Models!$C$60+Models!$E$60*Models!$B$4+Models!$F$60*Models!$B$5)))</f>
        <v>74.152660286941611</v>
      </c>
      <c r="AF72" s="153">
        <f>200/(1+EXP(Models!$D$24*((Models!$E$24*Models!$B$4+Models!$B$5)*ChartData!B72)))</f>
        <v>98.88600005774255</v>
      </c>
      <c r="AG72" s="153">
        <f>100*EXP(-EXP(Models!$D$61*(ChartData!B72-Models!$C$61+Models!$E$61*Models!$B$4+Models!$F$61*Models!$B$5)))</f>
        <v>74.675519154464737</v>
      </c>
      <c r="AI72" s="214">
        <f>Models!$B$25*Models!$I$25+(200-Models!$B$25*Models!$I$25)/(1+EXP(Models!$C$25*B72*(Models!$B$4*Models!$F$25+Models!$B$5+Models!$I$25*Models!$G$25)))</f>
        <v>99.049836852542384</v>
      </c>
      <c r="AJ72" s="214">
        <f>100*EXP(-EXP(Models!$D$62*(ChartData!B72-Models!$C$62+Models!$E$62*Models!$B$4+Models!$F$62*Models!$B$5)))</f>
        <v>78.341126456887338</v>
      </c>
      <c r="AK72" s="220">
        <f>Models!$B$26*Models!$I$26+(200-Models!$B$26*Models!$I$26)/(1+EXP(Models!$C$26*B72*(Models!$B$4*Models!$F$26+Models!$B$5+Models!$I$26*Models!$G$26)))</f>
        <v>98.654204706736877</v>
      </c>
      <c r="AL72" s="220">
        <f>100*EXP(-EXP(Models!$D$63*(ChartData!B72-Models!$C$63+Models!$E$63*Models!$B$4+Models!$F$63*Models!$B$5)))</f>
        <v>81.31499175470519</v>
      </c>
      <c r="AM72" s="226">
        <f>Models!$B$27*Models!$I$27+(200-Models!$B$27*Models!$I$27)/(1+EXP(Models!$C$27*B72*(Models!$B$4*Models!$F$27+Models!$B$5+Models!$I$27*Models!$G$27)))</f>
        <v>103.88458927101946</v>
      </c>
      <c r="AN72" s="226">
        <f>100*EXP(-EXP(Models!$D$64*(ChartData!B72-Models!$C$64+Models!$E$64*Models!$B$4+Models!$F$64*Models!$B$5)))</f>
        <v>81.712149076219447</v>
      </c>
      <c r="AO72" s="232">
        <f>Models!$B$28*Models!$I$28+(200-Models!$B$28*Models!$I$28)/(1+EXP(Models!$C$28*B72*(Models!$B$4*Models!$F$28+Models!$B$5+Models!$I$28*Models!$G$28)))</f>
        <v>98.904701915056393</v>
      </c>
      <c r="AP72" s="232">
        <f>100*EXP(-EXP(Models!$D$65*(ChartData!B72-Models!$C$65+Models!$E$65*Models!$B$4+Models!$F$65*Models!$B$5)))</f>
        <v>41.48821369093011</v>
      </c>
      <c r="AQ72" s="238">
        <f>Models!$B$29*Models!$I$29+(200-Models!$B$29*Models!$I$29)/(1+EXP(Models!$C$29*B72*(Models!$B$4*Models!$F$29+Models!$B$5+Models!$I$29*Models!$G$29)))</f>
        <v>98.392243846798124</v>
      </c>
      <c r="AR72" s="238">
        <f>100*EXP(-EXP(Models!$D$66*(ChartData!B72-Models!$C$66+Models!$E$66*Models!$B$4+Models!$F$66*Models!$B$5)))</f>
        <v>56.080520930209431</v>
      </c>
      <c r="AS72" s="244">
        <f>Models!$B$30*Models!$I$30+(200-Models!$B$30*Models!$I$30)/(1+EXP(Models!$C$30*B72*(Models!$B$4*Models!$F$30+Models!$B$5+Models!$I$30*Models!$G$30)))</f>
        <v>102.81111215111051</v>
      </c>
      <c r="AT72" s="244">
        <f>100*EXP(-EXP(Models!$D$67*(ChartData!B72-Models!$C$67+Models!$E$67*Models!$B$4+Models!$F$67*Models!$B$5)))</f>
        <v>48.578219221427446</v>
      </c>
    </row>
    <row r="73" spans="1:46" x14ac:dyDescent="0.2">
      <c r="C73" s="99" t="s">
        <v>236</v>
      </c>
      <c r="D73" s="45">
        <f>IF($A$4=1,F73,IF($A$4=2,AB73,IF($A$4=4,AF73,IF($A$4=5,N73,IF($A$4=3,AD73,IF($A$4=6,AQ73,IF($A$4=7,AO73,IF($A$4=8,AS73,IF($A$4=9,AI73,IF($A$4=10,AK73,IF($A$4=11,AM73)))))))))))</f>
        <v>1.6077561532018763</v>
      </c>
      <c r="E73" s="45">
        <f>IF($A$4=1,G73,IF($A$4=2,AC73,IF($A$4=4,AG73,IF($A$4=5,O73,IF($A$4=3,AE73,IF($A$4=6,Q73,IF($A$4=7,S73,IF($A$4=8,U73,IF(A$4=9,W73,IF($A$4=10,Y73,IF($A$4=11,AA73)))))))))))</f>
        <v>47.04230015510872</v>
      </c>
      <c r="F73" s="100">
        <f>100-F72</f>
        <v>0.95505566453783786</v>
      </c>
      <c r="G73" s="100">
        <f t="shared" ref="G73:AT73" si="8">100-G72</f>
        <v>20.791338281963021</v>
      </c>
      <c r="H73" s="100">
        <f t="shared" si="8"/>
        <v>2.9771208255253043</v>
      </c>
      <c r="I73" s="100">
        <f t="shared" si="8"/>
        <v>32.231752104424089</v>
      </c>
      <c r="J73" s="100">
        <f t="shared" si="8"/>
        <v>-20.997017621380721</v>
      </c>
      <c r="K73" s="100">
        <f t="shared" si="8"/>
        <v>90.706558429585243</v>
      </c>
      <c r="L73" s="100">
        <f t="shared" si="8"/>
        <v>9.9002660985679398</v>
      </c>
      <c r="M73" s="100">
        <f t="shared" si="8"/>
        <v>88.813099096261737</v>
      </c>
      <c r="N73" s="100">
        <f t="shared" si="8"/>
        <v>12.802904373858809</v>
      </c>
      <c r="O73" s="100">
        <f t="shared" si="8"/>
        <v>86.765052010178664</v>
      </c>
      <c r="P73" s="175">
        <f t="shared" si="8"/>
        <v>1.5535763394974822</v>
      </c>
      <c r="Q73" s="175">
        <f t="shared" si="8"/>
        <v>47.04230015510872</v>
      </c>
      <c r="R73" s="178">
        <f t="shared" si="8"/>
        <v>1.272848857532864</v>
      </c>
      <c r="S73" s="178">
        <f t="shared" si="8"/>
        <v>58.518645447864387</v>
      </c>
      <c r="T73" s="183">
        <f t="shared" si="8"/>
        <v>1.3669985176870512</v>
      </c>
      <c r="U73" s="183">
        <f t="shared" si="8"/>
        <v>43.918826796825108</v>
      </c>
      <c r="V73" s="100">
        <f t="shared" si="8"/>
        <v>7.6059725340465718</v>
      </c>
      <c r="W73" s="100">
        <f t="shared" si="8"/>
        <v>21.658662762815013</v>
      </c>
      <c r="X73" s="163">
        <f t="shared" si="8"/>
        <v>7.8882070362369205</v>
      </c>
      <c r="Y73" s="163">
        <f t="shared" si="8"/>
        <v>18.684730798602644</v>
      </c>
      <c r="Z73" s="170">
        <f t="shared" si="8"/>
        <v>6.7801622151646228</v>
      </c>
      <c r="AA73" s="170">
        <f t="shared" si="8"/>
        <v>18.287575472198498</v>
      </c>
      <c r="AB73" s="148">
        <f t="shared" si="8"/>
        <v>0.69790351075613444</v>
      </c>
      <c r="AC73" s="148">
        <f t="shared" si="8"/>
        <v>28.253068406798675</v>
      </c>
      <c r="AD73" s="152">
        <f t="shared" si="8"/>
        <v>1.0131809824827798</v>
      </c>
      <c r="AE73" s="152">
        <f t="shared" si="8"/>
        <v>25.847339713058389</v>
      </c>
      <c r="AF73" s="156">
        <f t="shared" si="8"/>
        <v>1.1139999422574505</v>
      </c>
      <c r="AG73" s="156">
        <f t="shared" si="8"/>
        <v>25.324480845535263</v>
      </c>
      <c r="AI73" s="218">
        <f t="shared" si="8"/>
        <v>0.95016314745761576</v>
      </c>
      <c r="AJ73" s="218">
        <f t="shared" si="8"/>
        <v>21.658873543112662</v>
      </c>
      <c r="AK73" s="224">
        <f>MAX(100-AK72,0)</f>
        <v>1.345795293263123</v>
      </c>
      <c r="AL73" s="224">
        <f t="shared" si="8"/>
        <v>18.68500824529481</v>
      </c>
      <c r="AM73" s="230">
        <f>MAX(100-AM72,0)</f>
        <v>0</v>
      </c>
      <c r="AN73" s="230">
        <f t="shared" si="8"/>
        <v>18.287850923780553</v>
      </c>
      <c r="AO73" s="236">
        <f>MAX(100-AO72,0)</f>
        <v>1.0952980849436074</v>
      </c>
      <c r="AP73" s="236">
        <f t="shared" si="8"/>
        <v>58.51178630906989</v>
      </c>
      <c r="AQ73" s="242">
        <f>MAX(100-AQ72,0)</f>
        <v>1.6077561532018763</v>
      </c>
      <c r="AR73" s="242">
        <f t="shared" si="8"/>
        <v>43.919479069790569</v>
      </c>
      <c r="AS73" s="248">
        <f>MAX(100-AS72,0)</f>
        <v>0</v>
      </c>
      <c r="AT73" s="248">
        <f t="shared" si="8"/>
        <v>51.421780778572554</v>
      </c>
    </row>
    <row r="74" spans="1:46" x14ac:dyDescent="0.2">
      <c r="A74" s="98" t="s">
        <v>251</v>
      </c>
      <c r="B74" t="str">
        <f>IF(B72&lt;D70,D70-B72,"OutOfRange")</f>
        <v>OutOfRange</v>
      </c>
    </row>
    <row r="75" spans="1:46" x14ac:dyDescent="0.2">
      <c r="A75" s="98" t="s">
        <v>252</v>
      </c>
      <c r="B75" t="e">
        <f>'Front Page'!$C$4+(ChartData!$B$90*(ChartData!$B$74*0.25)*'Front Page'!$C$4)</f>
        <v>#VALUE!</v>
      </c>
    </row>
    <row r="76" spans="1:46" x14ac:dyDescent="0.2">
      <c r="A76" s="98" t="s">
        <v>253</v>
      </c>
      <c r="B76" t="e">
        <f>'Front Page'!$C$4+(ChartData!$B$90*(ChartData!$B$74*0.5)*'Front Page'!$C$4)</f>
        <v>#VALUE!</v>
      </c>
    </row>
    <row r="77" spans="1:46" x14ac:dyDescent="0.2">
      <c r="A77" s="98" t="s">
        <v>254</v>
      </c>
      <c r="B77" t="e">
        <f>'Front Page'!$C$4+(ChartData!$B$90*(ChartData!$B$74*0.75)*'Front Page'!$C$4)</f>
        <v>#VALUE!</v>
      </c>
    </row>
    <row r="78" spans="1:46" x14ac:dyDescent="0.2">
      <c r="A78" s="98" t="s">
        <v>255</v>
      </c>
      <c r="B78" t="e">
        <f>'Front Page'!$C$4+(ChartData!$B$90*ChartData!$B$74*'Front Page'!$C$4)</f>
        <v>#VALUE!</v>
      </c>
      <c r="D78" s="43" t="s">
        <v>263</v>
      </c>
    </row>
    <row r="79" spans="1:46" x14ac:dyDescent="0.2">
      <c r="A79" s="98" t="s">
        <v>266</v>
      </c>
      <c r="B79" t="e">
        <f>$B$72+($B$74/4)</f>
        <v>#VALUE!</v>
      </c>
    </row>
    <row r="80" spans="1:46" x14ac:dyDescent="0.2">
      <c r="A80" s="98" t="s">
        <v>267</v>
      </c>
      <c r="B80" t="e">
        <f>$B$72+($B$74/2)</f>
        <v>#VALUE!</v>
      </c>
    </row>
    <row r="81" spans="1:45" x14ac:dyDescent="0.2">
      <c r="A81" s="98" t="s">
        <v>268</v>
      </c>
      <c r="B81" t="e">
        <f>$B$72+($B$74*0.75)</f>
        <v>#VALUE!</v>
      </c>
    </row>
    <row r="82" spans="1:45" x14ac:dyDescent="0.2">
      <c r="A82" s="98" t="s">
        <v>265</v>
      </c>
      <c r="D82" s="45" t="e">
        <f>IF($A$4=1,F82,IF($A$4=2,AB82,IF($A$4=4,AF82,IF($A$4=5,N82,IF($A$4=3,AD82,IF($A$4=6,P82,IF($A$4=7,R82,IF($A$4=8,T82))))))))</f>
        <v>#VALUE!</v>
      </c>
      <c r="F82" s="36" t="e">
        <f>100-(Equations!$E$4/(1+EXP(Equations!$F$4*B79*(Equations!$G$4*B75+Equations!$D$4))))</f>
        <v>#VALUE!</v>
      </c>
      <c r="H82" s="55" t="e">
        <f>100-(Models!$B$13+Models!$C$13*EXP(Models!$D$13*ChartData!B79+(Models!$E$13*ChartData!B79*Models!$E$3)))</f>
        <v>#VALUE!</v>
      </c>
      <c r="I82" s="54" t="s">
        <v>269</v>
      </c>
      <c r="L82" s="62" t="e">
        <f>100-(Models!$B$15/(1+EXP(Models!$D$15*(ChartData!B79*(1+Models!$D$15*Models!$B$5)-Models!$C$15))))</f>
        <v>#VALUE!</v>
      </c>
      <c r="M82" s="62" t="s">
        <v>269</v>
      </c>
      <c r="N82" s="53" t="e">
        <f>100-(Models!$B$15/(1+EXP(Models!$D$15*(ChartData!B79-Models!$D$15+Models!$E$15*ChartData!B82*Models!$B$5))))</f>
        <v>#VALUE!</v>
      </c>
      <c r="O82" s="51" t="s">
        <v>270</v>
      </c>
      <c r="P82" s="172" t="e">
        <f>100-(Models!$B$16*Models!$I$16+(100-Models!$B$16*Models!$I$16)/(1+EXP(Models!$C$16*(ChartData!B79-Models!$E$16+B75*Models!$F$16+B75*Models!$G$16*Models!$I$16+Models!$B$5*Models!$H$16))))</f>
        <v>#VALUE!</v>
      </c>
      <c r="R82" s="136" t="e">
        <f>100-(Models!$B$17*Models!$I$17+(100-Models!$B$17*Models!$I$17)/(1+EXP(Models!$C$17*(ChartData!B79-Models!$E$17+B75*Models!$F$17+B75*Models!$G$17*Models!$I$17+Models!$B$5*Models!$H$17))))</f>
        <v>#VALUE!</v>
      </c>
      <c r="T82" s="180" t="e">
        <f>100-(Models!$B$18*Models!$I$18+(100-Models!$B$18*Models!$I$18)/(1+EXP(Models!$C$18*(ChartData!$B79-Models!$E$18+$B75*Models!$F$18+$B75*Models!$G$18*Models!$I$18+Models!$B$5*Models!$H$18))))</f>
        <v>#VALUE!</v>
      </c>
      <c r="V82" s="36" t="e">
        <f>100-(Models!$B$19*Models!$I$19+(100-Models!$B$19*Models!$I$19)/(1+EXP(Models!$C$19*(B79-Models!$E$19+Models!$B$5*B79*Models!$F$19+Models!$B$4*Models!$G$19))))</f>
        <v>#VALUE!</v>
      </c>
      <c r="X82" s="36" t="e">
        <f>100-(Models!$B$19*Models!$I$19+(100-Models!$B$19*Models!$I$19)/(1+EXP(Models!$C$19*(B79-Models!$E$19+Models!$B$5*B79*Models!$F$19+Models!$B$4*Models!$G$19))))</f>
        <v>#VALUE!</v>
      </c>
      <c r="Z82" s="165" t="e">
        <f>100-(Models!$B$21*Models!$I$21+(100-Models!$B$21*Models!$I$21)/(1+EXP(Models!$C$21*(B79-Models!$E$21+Models!$B$5*B79*Models!$F$21+Models!$B$4*Models!$G$21))))</f>
        <v>#VALUE!</v>
      </c>
      <c r="AB82" s="146" t="e">
        <f>100-(200/(1+EXP(Models!$D$22*((Models!$E$22*Models!$B$4+Models!$B$5)*B79))))</f>
        <v>#VALUE!</v>
      </c>
      <c r="AD82" s="149" t="e">
        <f>100-(200/(1+EXP(Models!$D$23*((Models!$E$23*Models!$B$4+Models!$B$5)*B79))))</f>
        <v>#VALUE!</v>
      </c>
      <c r="AF82" s="153" t="e">
        <f>100-(200/(1+EXP(Models!$D$24*((Models!$E$24*Models!$B$4+Models!$B$5)*B79))))</f>
        <v>#VALUE!</v>
      </c>
      <c r="AI82" s="214" t="e">
        <f>Models!$B$25*Models!$I$25+(200-Models!$B$25*Models!$I$25)/(1+EXP(Models!$C$25*B79*(B75*Models!$F$25+Models!$B$5+Models!$I$25*Models!$G$25)))</f>
        <v>#VALUE!</v>
      </c>
      <c r="AK82" s="220" t="e">
        <f>Models!$B$26*Models!$I$26+(200-Models!$B$26*Models!$I$26)/(1+EXP(Models!$C$26*B79*(B75*Models!$F$26+Models!$B$5+Models!$I$26*Models!$G$26)))</f>
        <v>#VALUE!</v>
      </c>
      <c r="AM82" s="226" t="e">
        <f>Models!$B$27*Models!$I$27+(200-Models!$B$27*Models!$I$27)/(1+EXP(Models!$C$27*B79*(B75*Models!$F$27+Models!$B$5+Models!$I$27*Models!$G$27)))</f>
        <v>#VALUE!</v>
      </c>
      <c r="AO82" s="232" t="e">
        <f>Models!$B$28*Models!$I$28+(200-Models!$B$28*Models!$I$28)/(1+EXP(Models!$C$28*B79*(B75*Models!$F$28+Models!$B$5+Models!$I$28*Models!$G$28)))</f>
        <v>#VALUE!</v>
      </c>
      <c r="AQ82" s="238" t="e">
        <f>Models!$B$29*Models!$I$29+(200-Models!$B$29*Models!$I$29)/(1+EXP(Models!$C$29*B79*(B75*Models!$F$29+Models!$B$5+Models!$I$29*Models!$G$29)))</f>
        <v>#VALUE!</v>
      </c>
      <c r="AS82" s="244" t="e">
        <f>Models!$B$30*Models!$I$30+(200-Models!$B$30*Models!$I$30)/(1+EXP(Models!$C$30*B79*(B75*Models!$F$30+Models!$B$5+Models!$I$30*Models!$G$30)))</f>
        <v>#VALUE!</v>
      </c>
    </row>
    <row r="83" spans="1:45" x14ac:dyDescent="0.2">
      <c r="A83" s="98" t="s">
        <v>256</v>
      </c>
      <c r="D83" s="45" t="e">
        <f t="shared" ref="D83:D84" si="9">IF($A$4=1,F83,IF($A$4=2,AB83,IF($A$4=4,AF83,IF($A$4=5,N83,IF($A$4=3,AD83,IF($A$4=6,P83,IF($A$4=7,R83,IF($A$4=8,T83))))))))</f>
        <v>#VALUE!</v>
      </c>
      <c r="F83" s="36" t="e">
        <f>100-(Equations!$E$4/(1+EXP(Equations!$F$4*B80*(Equations!$G$4*B76+Equations!$D$4))))</f>
        <v>#VALUE!</v>
      </c>
      <c r="H83" s="55" t="e">
        <f>100-(Models!$B$13+Models!$C$13*EXP(Models!$D$13*ChartData!B80+(Models!$E$13*ChartData!B80*Models!$E$3)))</f>
        <v>#VALUE!</v>
      </c>
      <c r="L83" s="62" t="e">
        <f>100-(Models!$B$15/(1+EXP(Models!$D$15*(ChartData!B80*(1+Models!$D$15*Models!$B$5)-Models!$C$15))))</f>
        <v>#VALUE!</v>
      </c>
      <c r="N83" s="53" t="e">
        <f>100-(Models!$B$15/(1+EXP(Models!$D$15*(ChartData!B80-Models!$D$15+Models!$E$15*ChartData!B83*Models!$B$5))))</f>
        <v>#VALUE!</v>
      </c>
      <c r="P83" s="172" t="e">
        <f>100-(Models!$B$16*Models!$I$16+(100-Models!$B$16*Models!$I$16)/(1+EXP(Models!$C$16*(ChartData!B80-Models!$E$16+B76*Models!$F$16+B76*Models!$G$16*Models!$I$16+Models!$B$5*Models!$H$16))))</f>
        <v>#VALUE!</v>
      </c>
      <c r="R83" s="136" t="e">
        <f>100-(Models!$B$17*Models!$I$17+(100-Models!$B$17*Models!$I$17)/(1+EXP(Models!$C$17*(ChartData!B80-Models!$E$17+B76*Models!$F$17+B76*Models!$G$17*Models!$I$17+Models!$B$5*Models!$H$17))))</f>
        <v>#VALUE!</v>
      </c>
      <c r="T83" s="180" t="e">
        <f>100-(Models!$B$18*Models!$I$18+(100-Models!$B$18*Models!$I$18)/(1+EXP(Models!$C$18*(ChartData!B80-Models!$E$18+B76*Models!$F$18+B76*Models!$G$18*Models!$I$18+Models!$B$5*Models!$H$18))))</f>
        <v>#VALUE!</v>
      </c>
      <c r="V83" s="36" t="e">
        <f>100-(Models!$B$19*Models!$I$19+(100-Models!$B$19*Models!$I$19)/(1+EXP(Models!$C$19*(B80-Models!$E$19+Models!$B$5*B80*Models!$F$19+Models!$B$4*Models!$G$19))))</f>
        <v>#VALUE!</v>
      </c>
      <c r="X83" s="36" t="e">
        <f>100-(Models!$B$19*Models!$I$19+(100-Models!$B$19*Models!$I$19)/(1+EXP(Models!$C$19*(B80-Models!$E$19+Models!$B$5*B80*Models!$F$19+Models!$B$4*Models!$G$19))))</f>
        <v>#VALUE!</v>
      </c>
      <c r="Z83" s="165" t="e">
        <f>100-(Models!$B$21*Models!$I$21+(100-Models!$B$21*Models!$I$21)/(1+EXP(Models!$C$21*(B80-Models!$E$21+Models!$B$5*B80*Models!$F$21+Models!$B$4*Models!$G$21))))</f>
        <v>#VALUE!</v>
      </c>
      <c r="AB83" s="146" t="e">
        <f>100-(200/(1+EXP(Models!$D$22*((Models!$E$22*Models!$B$4+Models!$B$5)*B80))))</f>
        <v>#VALUE!</v>
      </c>
      <c r="AD83" s="149" t="e">
        <f>100-(200/(1+EXP(Models!$D$23*((Models!$E$23*Models!$B$4+Models!$B$5)*B80))))</f>
        <v>#VALUE!</v>
      </c>
      <c r="AF83" s="153" t="e">
        <f>100-(200/(1+EXP(Models!$D$24*((Models!$E$24*Models!$B$4+Models!$B$5)*B80))))</f>
        <v>#VALUE!</v>
      </c>
      <c r="AI83" s="214" t="e">
        <f>Models!$B$25*Models!$I$25+(200-Models!$B$25*Models!$I$25)/(1+EXP(Models!$C$25*B80*(B76*Models!$F$25+Models!$B$5+Models!$I$25*Models!$G$25)))</f>
        <v>#VALUE!</v>
      </c>
      <c r="AK83" s="220" t="e">
        <f>Models!$B$26*Models!$I$26+(200-Models!$B$26*Models!$I$26)/(1+EXP(Models!$C$26*B80*(B76*Models!$F$26+Models!$B$5+Models!$I$26*Models!$G$26)))</f>
        <v>#VALUE!</v>
      </c>
      <c r="AM83" s="226" t="e">
        <f>Models!$B$27*Models!$I$27+(200-Models!$B$27*Models!$I$27)/(1+EXP(Models!$C$27*B80*(B76*Models!$F$27+Models!$B$5+Models!$I$27*Models!$G$27)))</f>
        <v>#VALUE!</v>
      </c>
      <c r="AO83" s="232" t="e">
        <f>Models!$B$28*Models!$I$28+(200-Models!$B$28*Models!$I$28)/(1+EXP(Models!$C$28*B80*(B76*Models!$F$28+Models!$B$5+Models!$I$28*Models!$G$28)))</f>
        <v>#VALUE!</v>
      </c>
      <c r="AQ83" s="238" t="e">
        <f>Models!$B$29*Models!$I$29+(200-Models!$B$29*Models!$I$29)/(1+EXP(Models!$C$29*B80*(B76*Models!$F$29+Models!$B$5+Models!$I$29*Models!$G$29)))</f>
        <v>#VALUE!</v>
      </c>
      <c r="AS83" s="244" t="e">
        <f>Models!$B$30*Models!$I$30+(200-Models!$B$30*Models!$I$30)/(1+EXP(Models!$C$30*B80*(B76*Models!$F$30+Models!$B$5+Models!$I$30*Models!$G$30)))</f>
        <v>#VALUE!</v>
      </c>
    </row>
    <row r="84" spans="1:45" x14ac:dyDescent="0.2">
      <c r="A84" s="98" t="s">
        <v>257</v>
      </c>
      <c r="D84" s="45" t="e">
        <f t="shared" si="9"/>
        <v>#VALUE!</v>
      </c>
      <c r="F84" s="36" t="e">
        <f>100-(Equations!$E$4/(1+EXP(Equations!$F$4*B81*(Equations!$G$4*B77+Equations!$D$4))))</f>
        <v>#VALUE!</v>
      </c>
      <c r="H84" s="55" t="e">
        <f>100-(Models!$B$13+Models!$C$13*EXP(Models!$D$13*ChartData!B81+(Models!$E$13*ChartData!B81*Models!$E$3)))</f>
        <v>#VALUE!</v>
      </c>
      <c r="L84" s="62" t="e">
        <f>100-(Models!$B$15/(1+EXP(Models!$D$15*(ChartData!B81*(1+Models!$D$15*Models!$B$5)-Models!$C$15))))</f>
        <v>#VALUE!</v>
      </c>
      <c r="N84" s="53" t="e">
        <f>100-(Models!$B$15/(1+EXP(Models!$D$15*(ChartData!B81-Models!$D$15+Models!$E$15*ChartData!B84*Models!$B$5))))</f>
        <v>#VALUE!</v>
      </c>
      <c r="P84" s="172" t="e">
        <f>100-(Models!$B$16*Models!$I$16+(100-Models!$B$16*Models!$I$16)/(1+EXP(Models!$C$16*(ChartData!B81-Models!$E$16+B77*Models!$F$16+B77*Models!$G$16*Models!$I$16+Models!$B$5*Models!$H$16))))</f>
        <v>#VALUE!</v>
      </c>
      <c r="R84" s="136" t="e">
        <f>100-(Models!$B$17*Models!$I$17+(100-Models!$B$17*Models!$I$17)/(1+EXP(Models!$C$17*(ChartData!B81-Models!$E$17+B77*Models!$F$17+B77*Models!$G$17*Models!$I$17+Models!$B$5*Models!$H$17))))</f>
        <v>#VALUE!</v>
      </c>
      <c r="T84" s="180" t="e">
        <f>100-(Models!$B$18*Models!$I$18+(100-Models!$B$18*Models!$I$18)/(1+EXP(Models!$C$18*(ChartData!B81-Models!$E$18+B77*Models!$F$18+B77*Models!$G$18*Models!$I$18+Models!$B$5*Models!$H$18))))</f>
        <v>#VALUE!</v>
      </c>
      <c r="V84" s="36" t="e">
        <f>100-(Models!$B$19*Models!$I$19+(100-Models!$B$19*Models!$I$19)/(1+EXP(Models!$C$19*(B81-Models!$E$19+Models!$B$5*B81*Models!$F$19+Models!$B$4*Models!$G$19))))</f>
        <v>#VALUE!</v>
      </c>
      <c r="X84" s="36" t="e">
        <f>100-(Models!$B$19*Models!$I$19+(100-Models!$B$19*Models!$I$19)/(1+EXP(Models!$C$19*(B81-Models!$E$19+Models!$B$5*B81*Models!$F$19+Models!$B$4*Models!$G$19))))</f>
        <v>#VALUE!</v>
      </c>
      <c r="Z84" s="165" t="e">
        <f>100-(Models!$B$21*Models!$I$21+(100-Models!$B$21*Models!$I$21)/(1+EXP(Models!$C$21*(B81-Models!$E$21+Models!$B$5*B81*Models!$F$21+Models!$B$4*Models!$G$21))))</f>
        <v>#VALUE!</v>
      </c>
      <c r="AB84" s="146" t="e">
        <f>100-(200/(1+EXP(Models!$D$22*((Models!$E$22*Models!$B$4+Models!$B$5)*B81))))</f>
        <v>#VALUE!</v>
      </c>
      <c r="AD84" s="149" t="e">
        <f>100-(200/(1+EXP(Models!$D$23*((Models!$E$23*Models!$B$4+Models!$B$5)*B81))))</f>
        <v>#VALUE!</v>
      </c>
      <c r="AF84" s="153" t="e">
        <f>100-(200/(1+EXP(Models!$D$24*((Models!$E$24*Models!$B$4+Models!$B$5)*B81))))</f>
        <v>#VALUE!</v>
      </c>
      <c r="AI84" s="214" t="e">
        <f>Models!$B$25*Models!$I$25+(200-Models!$B$25*Models!$I$25)/(1+EXP(Models!$C$25*B81*(B77*Models!$F$25+Models!$B$5+Models!$I$25*Models!$G$25)))</f>
        <v>#VALUE!</v>
      </c>
      <c r="AK84" s="220" t="e">
        <f>Models!$B$26*Models!$I$26+(200-Models!$B$26*Models!$I$26)/(1+EXP(Models!$C$26*B81*(B77*Models!$F$26+Models!$B$5+Models!$I$26*Models!$G$26)))</f>
        <v>#VALUE!</v>
      </c>
      <c r="AM84" s="226" t="e">
        <f>Models!$B$27*Models!$I$27+(200-Models!$B$27*Models!$I$27)/(1+EXP(Models!$C$27*B81*(B77*Models!$F$27+Models!$B$5+Models!$I$27*Models!$G$27)))</f>
        <v>#VALUE!</v>
      </c>
      <c r="AO84" s="232" t="e">
        <f>Models!$B$28*Models!$I$28+(200-Models!$B$28*Models!$I$28)/(1+EXP(Models!$C$28*B81*(B77*Models!$F$28+Models!$B$5+Models!$I$28*Models!$G$28)))</f>
        <v>#VALUE!</v>
      </c>
      <c r="AQ84" s="238" t="e">
        <f>Models!$B$29*Models!$I$29+(200-Models!$B$29*Models!$I$29)/(1+EXP(Models!$C$29*B81*(B77*Models!$F$29+Models!$B$5+Models!$I$29*Models!$G$29)))</f>
        <v>#VALUE!</v>
      </c>
      <c r="AS84" s="244" t="e">
        <f>Models!$B$30*Models!$I$30+(200-Models!$B$30*Models!$I$30)/(1+EXP(Models!$C$30*B81*(B77*Models!$F$30+Models!$B$5+Models!$I$30*Models!$G$30)))</f>
        <v>#VALUE!</v>
      </c>
    </row>
    <row r="85" spans="1:45" x14ac:dyDescent="0.2">
      <c r="A85" s="98" t="s">
        <v>271</v>
      </c>
      <c r="B85">
        <f>'Front Page'!C30*100</f>
        <v>0.36969696969696969</v>
      </c>
    </row>
    <row r="86" spans="1:45" x14ac:dyDescent="0.2">
      <c r="A86" s="98" t="s">
        <v>258</v>
      </c>
      <c r="B86" t="e" cm="1">
        <f t="array" ref="B86">INDEX(D82:D84, MATCH(MIN(ABS(D82:D84 - B85)), ABS(D82:D84 - B85), 0))</f>
        <v>#VALUE!</v>
      </c>
    </row>
    <row r="87" spans="1:45" x14ac:dyDescent="0.2">
      <c r="A87" s="98" t="s">
        <v>259</v>
      </c>
      <c r="B87" t="e">
        <f>IF(B86=D82,B79,IF(B86=D83,B80,B81))</f>
        <v>#VALUE!</v>
      </c>
    </row>
    <row r="88" spans="1:45" x14ac:dyDescent="0.2">
      <c r="A88" s="98" t="s">
        <v>260</v>
      </c>
      <c r="B88" t="e">
        <f>B87-B72</f>
        <v>#VALUE!</v>
      </c>
    </row>
    <row r="89" spans="1:45" x14ac:dyDescent="0.2">
      <c r="A89" s="72" t="s">
        <v>261</v>
      </c>
      <c r="B89" s="115" t="e">
        <f>B88/B91</f>
        <v>#VALUE!</v>
      </c>
      <c r="C89" s="115" t="s">
        <v>272</v>
      </c>
    </row>
    <row r="90" spans="1:45" x14ac:dyDescent="0.2">
      <c r="A90" s="98" t="s">
        <v>262</v>
      </c>
      <c r="B90">
        <f>GrowthEqns!B37</f>
        <v>9.7945720773747573E-3</v>
      </c>
      <c r="C90" s="82"/>
    </row>
    <row r="91" spans="1:45" x14ac:dyDescent="0.2">
      <c r="A91" s="98" t="s">
        <v>264</v>
      </c>
      <c r="B91">
        <f>GrowthEqns!B15</f>
        <v>3.0757800000000004</v>
      </c>
      <c r="C91" s="82"/>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36"/>
  <sheetViews>
    <sheetView workbookViewId="0">
      <selection activeCell="A64" sqref="A64:A65"/>
    </sheetView>
  </sheetViews>
  <sheetFormatPr defaultColWidth="9.140625" defaultRowHeight="12.75" x14ac:dyDescent="0.2"/>
  <cols>
    <col min="1" max="1" width="29.42578125" style="1" bestFit="1" customWidth="1"/>
    <col min="2" max="5" width="9.140625" style="6"/>
    <col min="6" max="6" width="14.42578125" style="6" customWidth="1"/>
    <col min="7" max="9" width="9.140625" style="6"/>
    <col min="10" max="10" width="9.5703125" style="6" bestFit="1" customWidth="1"/>
    <col min="11" max="16" width="9.140625" style="6"/>
    <col min="17" max="17" width="10.7109375" style="6" customWidth="1"/>
    <col min="18" max="16384" width="9.140625" style="6"/>
  </cols>
  <sheetData>
    <row r="1" spans="1:22" x14ac:dyDescent="0.2">
      <c r="E1" s="12"/>
    </row>
    <row r="2" spans="1:22" x14ac:dyDescent="0.2">
      <c r="A2" s="5"/>
      <c r="B2" s="5"/>
      <c r="C2" s="268" t="s">
        <v>8</v>
      </c>
      <c r="D2" s="268"/>
      <c r="E2" s="5"/>
      <c r="F2" s="5"/>
      <c r="G2" s="5"/>
      <c r="H2" s="5"/>
      <c r="I2" s="5"/>
      <c r="J2" s="5"/>
      <c r="K2" s="5" t="s">
        <v>15</v>
      </c>
      <c r="M2" s="1" t="s">
        <v>42</v>
      </c>
      <c r="P2" s="16" t="s">
        <v>43</v>
      </c>
      <c r="R2" s="19" t="s">
        <v>159</v>
      </c>
    </row>
    <row r="3" spans="1:22" x14ac:dyDescent="0.2">
      <c r="A3" s="5" t="s">
        <v>2</v>
      </c>
      <c r="B3" s="5" t="s">
        <v>7</v>
      </c>
      <c r="C3" s="5" t="s">
        <v>9</v>
      </c>
      <c r="D3" s="5" t="s">
        <v>10</v>
      </c>
      <c r="E3" s="5" t="s">
        <v>3</v>
      </c>
      <c r="F3" s="5" t="s">
        <v>4</v>
      </c>
      <c r="G3" s="5" t="s">
        <v>5</v>
      </c>
      <c r="H3" s="5" t="s">
        <v>16</v>
      </c>
      <c r="I3" s="5" t="s">
        <v>17</v>
      </c>
      <c r="J3" s="5" t="s">
        <v>13</v>
      </c>
      <c r="K3" s="5" t="s">
        <v>14</v>
      </c>
      <c r="M3" s="15" t="s">
        <v>46</v>
      </c>
      <c r="O3" s="19" t="s">
        <v>160</v>
      </c>
    </row>
    <row r="4" spans="1:22" x14ac:dyDescent="0.2">
      <c r="A4" s="1" t="s">
        <v>6</v>
      </c>
      <c r="B4" s="6">
        <f>IF('Front Page'!D13&gt;0,'Front Page'!D13,'Front Page'!C13*0.706)</f>
        <v>100</v>
      </c>
      <c r="C4" s="6">
        <f>'Front Page'!C4</f>
        <v>10</v>
      </c>
      <c r="D4" s="6">
        <f>'Front Page'!C5</f>
        <v>5</v>
      </c>
      <c r="E4" s="6">
        <v>200</v>
      </c>
      <c r="F4" s="7">
        <v>5.6543999999999996E-6</v>
      </c>
      <c r="G4" s="6">
        <v>2.8782000000000001</v>
      </c>
      <c r="J4" s="9">
        <f>E4/(1+EXP(F4*B4*(G4*C4+D4)))</f>
        <v>99.044944335462162</v>
      </c>
      <c r="K4" s="8">
        <f>(100-J4)/100</f>
        <v>9.5505566453783792E-3</v>
      </c>
      <c r="L4" s="12" t="s">
        <v>143</v>
      </c>
      <c r="M4" s="18">
        <f>LN(($E$4/$C$30)-1)/($F$4*($G$4*C4+D4))</f>
        <v>38.708467683617727</v>
      </c>
      <c r="N4" s="15" t="s">
        <v>31</v>
      </c>
    </row>
    <row r="6" spans="1:22" x14ac:dyDescent="0.2">
      <c r="A6" s="5" t="s">
        <v>2</v>
      </c>
    </row>
    <row r="7" spans="1:22" x14ac:dyDescent="0.2">
      <c r="A7" s="1" t="s">
        <v>47</v>
      </c>
      <c r="B7" s="6">
        <f>B4</f>
        <v>100</v>
      </c>
      <c r="C7" s="6">
        <f t="shared" ref="C7:D7" si="0">C4</f>
        <v>10</v>
      </c>
      <c r="D7" s="6">
        <f t="shared" si="0"/>
        <v>5</v>
      </c>
      <c r="E7" s="6">
        <v>100</v>
      </c>
      <c r="F7" s="6">
        <v>3.3555E-3</v>
      </c>
      <c r="G7" s="6">
        <v>-382.73</v>
      </c>
      <c r="H7" s="6">
        <v>-4.1074000000000002</v>
      </c>
      <c r="I7" s="6">
        <v>-1.5271999999999999</v>
      </c>
      <c r="J7" s="9">
        <f>E7*EXP(-EXP(-F7*(B7-G7+H7*C7+I7*D7)))</f>
        <v>79.208661718036979</v>
      </c>
      <c r="K7" s="8">
        <f>(100-J7)/100</f>
        <v>0.2079133828196302</v>
      </c>
      <c r="L7" s="12" t="s">
        <v>144</v>
      </c>
      <c r="M7" s="20">
        <f>IF(LN(C30/E7)&gt;=0, "Error: Invalid y/A value", (LN(-LN(C30/E7))/(F7*-1))+G7-(H7*C7)-(I7*D7))</f>
        <v>1334.4021299719727</v>
      </c>
    </row>
    <row r="10" spans="1:22" x14ac:dyDescent="0.2">
      <c r="J10" s="5" t="s">
        <v>14</v>
      </c>
      <c r="K10" s="8">
        <f>ChartData!A29/100</f>
        <v>1.6077561532018763E-2</v>
      </c>
      <c r="L10" s="12" t="s">
        <v>407</v>
      </c>
    </row>
    <row r="13" spans="1:22" x14ac:dyDescent="0.2">
      <c r="K13" s="1" t="s">
        <v>244</v>
      </c>
    </row>
    <row r="14" spans="1:22" x14ac:dyDescent="0.2">
      <c r="A14" s="2" t="s">
        <v>0</v>
      </c>
      <c r="B14" s="3">
        <f>'Front Page'!E3</f>
        <v>550</v>
      </c>
      <c r="C14" s="1" t="s">
        <v>22</v>
      </c>
      <c r="J14" s="6" t="s">
        <v>247</v>
      </c>
      <c r="K14" s="113" t="str">
        <f>IF(T21="yes",P27,IF(K10&gt;C27,P26,P25))</f>
        <v>Potential value of lost yield is greater than weed control cost. Control weeds ASAP.</v>
      </c>
    </row>
    <row r="15" spans="1:22" x14ac:dyDescent="0.2">
      <c r="A15" s="2" t="s">
        <v>1</v>
      </c>
      <c r="B15" s="3">
        <f>'Front Page'!E4</f>
        <v>12</v>
      </c>
      <c r="C15" s="3">
        <f>B15*B14</f>
        <v>6600</v>
      </c>
      <c r="D15" s="15" t="s">
        <v>38</v>
      </c>
      <c r="K15" s="13" t="s">
        <v>23</v>
      </c>
      <c r="V15" s="13"/>
    </row>
    <row r="16" spans="1:22" x14ac:dyDescent="0.2">
      <c r="A16" s="2"/>
      <c r="B16" s="1"/>
      <c r="J16" s="6" t="s">
        <v>248</v>
      </c>
      <c r="K16" s="111" t="str">
        <f>IF(K10&gt;C27,P34,P33)</f>
        <v>The Australian Cotton HRMS suggests using 6 different modes of action every two years. Consider using a different option next time, to manage resistance.</v>
      </c>
    </row>
    <row r="17" spans="1:20" x14ac:dyDescent="0.2">
      <c r="A17" s="2" t="s">
        <v>138</v>
      </c>
      <c r="B17" s="23">
        <f>'Front Page'!E27</f>
        <v>9.4</v>
      </c>
      <c r="D17" s="12"/>
    </row>
    <row r="18" spans="1:20" x14ac:dyDescent="0.2">
      <c r="A18" s="32"/>
      <c r="B18" s="33"/>
      <c r="K18" s="15" t="s">
        <v>141</v>
      </c>
    </row>
    <row r="19" spans="1:20" x14ac:dyDescent="0.2">
      <c r="A19" s="2" t="s">
        <v>18</v>
      </c>
      <c r="B19" s="3">
        <f>'Front Page'!C29</f>
        <v>15</v>
      </c>
      <c r="C19" s="23">
        <f>B17+B19</f>
        <v>24.4</v>
      </c>
      <c r="D19" s="15" t="s">
        <v>38</v>
      </c>
    </row>
    <row r="20" spans="1:20" ht="15" x14ac:dyDescent="0.25">
      <c r="J20" s="25"/>
      <c r="K20" s="27" t="s">
        <v>142</v>
      </c>
      <c r="L20" s="25"/>
      <c r="M20" s="25"/>
      <c r="P20" s="196"/>
      <c r="Q20" s="197"/>
      <c r="R20" s="196"/>
      <c r="S20" s="114" t="s">
        <v>382</v>
      </c>
      <c r="T20" s="198" t="str">
        <f>IF(L26&lt;L22,"yes","no")</f>
        <v>no</v>
      </c>
    </row>
    <row r="21" spans="1:20" ht="15" x14ac:dyDescent="0.25">
      <c r="B21" s="4" t="s">
        <v>411</v>
      </c>
      <c r="C21" s="3">
        <f>C19/C15</f>
        <v>3.6969696969696968E-3</v>
      </c>
      <c r="J21" s="25"/>
      <c r="K21" s="27"/>
      <c r="L21" s="25"/>
      <c r="M21" s="25"/>
      <c r="S21" s="114" t="s">
        <v>250</v>
      </c>
      <c r="T21" s="199" t="str">
        <f>IF(L26&gt;L24,"yes","no")</f>
        <v>no</v>
      </c>
    </row>
    <row r="22" spans="1:20" ht="15" x14ac:dyDescent="0.25">
      <c r="B22" s="4" t="s">
        <v>383</v>
      </c>
      <c r="C22" s="3">
        <f>'Front Page'!C31</f>
        <v>5.0000000000000001E-3</v>
      </c>
      <c r="J22" s="25"/>
      <c r="K22" s="28" t="s">
        <v>48</v>
      </c>
      <c r="L22" s="26">
        <f>IF(ChartData!$D$69&gt;0,ChartData!$D$69,0)</f>
        <v>22.992715459168558</v>
      </c>
      <c r="M22" s="25">
        <v>0</v>
      </c>
      <c r="N22" s="46" t="s">
        <v>174</v>
      </c>
      <c r="S22" s="114" t="s">
        <v>273</v>
      </c>
      <c r="T22" s="200" t="str">
        <f>IF(T20="yes",ROUND(ChartData!B89,0),"Out of bounds")</f>
        <v>Out of bounds</v>
      </c>
    </row>
    <row r="23" spans="1:20" ht="15" x14ac:dyDescent="0.25">
      <c r="B23" s="4" t="s">
        <v>21</v>
      </c>
      <c r="C23" s="10">
        <f>IF('Front Page'!C32="Calculated threshold",Equations!C21,Equations!C22)</f>
        <v>3.6969696969696968E-3</v>
      </c>
      <c r="D23" s="12"/>
      <c r="J23" s="25"/>
      <c r="K23" s="28" t="s">
        <v>48</v>
      </c>
      <c r="L23" s="26">
        <f>IF(ChartData!$D$69&gt;0,ChartData!$D$69,0)</f>
        <v>22.992715459168558</v>
      </c>
      <c r="M23" s="25">
        <v>1</v>
      </c>
      <c r="N23" s="46"/>
      <c r="S23" s="114" t="s">
        <v>274</v>
      </c>
      <c r="T23" s="201" t="str">
        <f>IF(T20="yes",ROUND(ChartData!B88,0),"Out of bounds")</f>
        <v>Out of bounds</v>
      </c>
    </row>
    <row r="24" spans="1:20" ht="15" x14ac:dyDescent="0.25">
      <c r="J24" s="25"/>
      <c r="K24" s="28" t="s">
        <v>49</v>
      </c>
      <c r="L24" s="26">
        <f>IF($M$29="reversed",NA(),ChartData!$E$69)</f>
        <v>928.71778079319336</v>
      </c>
      <c r="M24" s="25">
        <v>0</v>
      </c>
      <c r="N24" s="46" t="s">
        <v>175</v>
      </c>
      <c r="P24" s="110" t="s">
        <v>239</v>
      </c>
      <c r="Q24" s="29"/>
      <c r="R24" s="29"/>
      <c r="S24" s="29"/>
    </row>
    <row r="25" spans="1:20" ht="15" x14ac:dyDescent="0.25">
      <c r="B25" s="4" t="s">
        <v>19</v>
      </c>
      <c r="C25" s="11">
        <v>0.01</v>
      </c>
      <c r="D25" s="111" t="s">
        <v>246</v>
      </c>
      <c r="J25" s="25"/>
      <c r="K25" s="28" t="s">
        <v>49</v>
      </c>
      <c r="L25" s="26">
        <f>IF($M$29="reversed",NA(),ChartData!$E$69)</f>
        <v>928.71778079319336</v>
      </c>
      <c r="M25" s="25">
        <v>1</v>
      </c>
      <c r="N25" s="46"/>
      <c r="P25" s="109" t="s">
        <v>240</v>
      </c>
      <c r="Q25" s="30"/>
      <c r="R25" s="31"/>
      <c r="S25" s="29"/>
    </row>
    <row r="26" spans="1:20" ht="15" x14ac:dyDescent="0.25">
      <c r="J26" s="25"/>
      <c r="K26" s="28" t="s">
        <v>139</v>
      </c>
      <c r="L26" s="25">
        <f>'Front Page'!$F$13</f>
        <v>100</v>
      </c>
      <c r="M26" s="25">
        <v>0</v>
      </c>
      <c r="N26" s="46" t="s">
        <v>176</v>
      </c>
      <c r="P26" s="109" t="s">
        <v>415</v>
      </c>
      <c r="Q26" s="30"/>
      <c r="R26" s="31"/>
      <c r="S26" s="29"/>
    </row>
    <row r="27" spans="1:20" ht="15" x14ac:dyDescent="0.25">
      <c r="B27" s="4" t="s">
        <v>20</v>
      </c>
      <c r="C27" s="10">
        <f>IF(C15&gt;0,C23,C25)</f>
        <v>3.6969696969696968E-3</v>
      </c>
      <c r="J27" s="25"/>
      <c r="K27" s="28" t="s">
        <v>139</v>
      </c>
      <c r="L27" s="25">
        <f>'Front Page'!$F$13</f>
        <v>100</v>
      </c>
      <c r="M27" s="25">
        <v>1</v>
      </c>
      <c r="P27" s="109" t="s">
        <v>241</v>
      </c>
      <c r="Q27" s="30"/>
      <c r="R27" s="31"/>
      <c r="S27" s="29"/>
    </row>
    <row r="28" spans="1:20" ht="15" x14ac:dyDescent="0.25">
      <c r="B28" s="15" t="s">
        <v>44</v>
      </c>
      <c r="C28" s="17">
        <f>1-C27</f>
        <v>0.99630303030303036</v>
      </c>
      <c r="K28" s="255"/>
      <c r="P28" s="109"/>
      <c r="Q28" s="30"/>
      <c r="R28" s="31"/>
      <c r="S28" s="29"/>
    </row>
    <row r="29" spans="1:20" ht="15" x14ac:dyDescent="0.25">
      <c r="K29" s="260"/>
      <c r="L29" s="261" t="s">
        <v>413</v>
      </c>
      <c r="M29" s="262" t="str">
        <f>ChartData!A62</f>
        <v>normal</v>
      </c>
      <c r="P29" s="109" t="str">
        <f>_xlfn.CONCAT("You may pass the yield penalty threshold, and need to spray, within approximately ",T22," days.")</f>
        <v>You may pass the yield penalty threshold, and need to spray, within approximately Out of bounds days.</v>
      </c>
      <c r="Q29" s="30"/>
      <c r="R29" s="29"/>
      <c r="S29" s="29"/>
    </row>
    <row r="30" spans="1:20" ht="15" x14ac:dyDescent="0.25">
      <c r="B30" s="4" t="s">
        <v>45</v>
      </c>
      <c r="C30" s="6">
        <f>C28*100</f>
        <v>99.63030303030304</v>
      </c>
      <c r="P30" s="109"/>
      <c r="Q30" s="30"/>
      <c r="R30" s="29"/>
      <c r="S30" s="29"/>
    </row>
    <row r="32" spans="1:20" x14ac:dyDescent="0.2">
      <c r="P32" s="2" t="s">
        <v>242</v>
      </c>
    </row>
    <row r="33" spans="16:16" x14ac:dyDescent="0.2">
      <c r="P33" s="111" t="s">
        <v>243</v>
      </c>
    </row>
    <row r="34" spans="16:16" x14ac:dyDescent="0.2">
      <c r="P34" s="112" t="s">
        <v>245</v>
      </c>
    </row>
    <row r="35" spans="16:16" x14ac:dyDescent="0.2">
      <c r="P35" s="111"/>
    </row>
    <row r="36" spans="16:16" x14ac:dyDescent="0.2">
      <c r="P36" s="111"/>
    </row>
  </sheetData>
  <mergeCells count="1">
    <mergeCell ref="C2:D2"/>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22AC8-336C-454F-8320-99FD9660C9F7}">
  <dimension ref="A2:U68"/>
  <sheetViews>
    <sheetView workbookViewId="0">
      <selection activeCell="A64" sqref="A64:A65"/>
    </sheetView>
  </sheetViews>
  <sheetFormatPr defaultRowHeight="12.75" x14ac:dyDescent="0.2"/>
  <cols>
    <col min="1" max="1" width="18" customWidth="1"/>
    <col min="3" max="3" width="12" bestFit="1" customWidth="1"/>
    <col min="4" max="4" width="14.85546875" bestFit="1" customWidth="1"/>
    <col min="5" max="5" width="11.5703125" bestFit="1" customWidth="1"/>
    <col min="12" max="12" width="65.42578125" customWidth="1"/>
    <col min="13" max="13" width="23.140625" customWidth="1"/>
  </cols>
  <sheetData>
    <row r="2" spans="1:21" x14ac:dyDescent="0.2">
      <c r="A2" s="21" t="s">
        <v>162</v>
      </c>
    </row>
    <row r="3" spans="1:21" x14ac:dyDescent="0.2">
      <c r="A3" s="117" t="s">
        <v>31</v>
      </c>
      <c r="B3">
        <f>'Front Page'!F13</f>
        <v>100</v>
      </c>
      <c r="D3" s="14" t="s">
        <v>154</v>
      </c>
      <c r="E3">
        <f>'Front Page'!C6</f>
        <v>0</v>
      </c>
      <c r="G3" s="14" t="s">
        <v>183</v>
      </c>
      <c r="H3" s="14" t="s">
        <v>184</v>
      </c>
      <c r="I3" s="14"/>
    </row>
    <row r="4" spans="1:21" x14ac:dyDescent="0.2">
      <c r="A4" s="14" t="s">
        <v>149</v>
      </c>
      <c r="B4" s="6">
        <f>'Front Page'!$C$4</f>
        <v>10</v>
      </c>
      <c r="D4" s="14" t="s">
        <v>45</v>
      </c>
      <c r="E4">
        <f>Equations!C30</f>
        <v>99.63030303030304</v>
      </c>
      <c r="G4">
        <v>2761.7789354630986</v>
      </c>
      <c r="H4">
        <f xml:space="preserve"> B49 * EXP(-EXP(D49 * (G4 - C49 + E49 * G4 * B5)))</f>
        <v>99.999998139989515</v>
      </c>
    </row>
    <row r="5" spans="1:21" x14ac:dyDescent="0.2">
      <c r="A5" s="14" t="s">
        <v>150</v>
      </c>
      <c r="B5" s="6">
        <f>'Front Page'!$C$5</f>
        <v>5</v>
      </c>
    </row>
    <row r="6" spans="1:21" x14ac:dyDescent="0.2">
      <c r="A6" s="14"/>
      <c r="B6" s="6"/>
    </row>
    <row r="7" spans="1:21" x14ac:dyDescent="0.2">
      <c r="A7" s="21" t="s">
        <v>24</v>
      </c>
    </row>
    <row r="8" spans="1:21" x14ac:dyDescent="0.2">
      <c r="A8" t="s">
        <v>29</v>
      </c>
      <c r="B8" t="s">
        <v>25</v>
      </c>
      <c r="C8" t="s">
        <v>26</v>
      </c>
      <c r="D8" t="s">
        <v>27</v>
      </c>
      <c r="I8" s="14" t="s">
        <v>39</v>
      </c>
      <c r="L8" s="14" t="s">
        <v>146</v>
      </c>
      <c r="M8" s="21" t="s">
        <v>147</v>
      </c>
      <c r="O8" s="21" t="s">
        <v>164</v>
      </c>
    </row>
    <row r="9" spans="1:21" x14ac:dyDescent="0.2">
      <c r="B9" s="14" t="s">
        <v>3</v>
      </c>
      <c r="C9" s="14" t="s">
        <v>5</v>
      </c>
      <c r="D9" s="14" t="s">
        <v>4</v>
      </c>
      <c r="E9" s="14" t="s">
        <v>16</v>
      </c>
      <c r="F9" s="14" t="s">
        <v>17</v>
      </c>
      <c r="G9" s="14" t="s">
        <v>213</v>
      </c>
      <c r="H9" s="14" t="s">
        <v>214</v>
      </c>
      <c r="I9" s="117" t="s">
        <v>281</v>
      </c>
    </row>
    <row r="10" spans="1:21" x14ac:dyDescent="0.2">
      <c r="A10" s="21"/>
      <c r="O10" s="14"/>
    </row>
    <row r="11" spans="1:21" x14ac:dyDescent="0.2">
      <c r="A11" t="s">
        <v>30</v>
      </c>
    </row>
    <row r="12" spans="1:21" x14ac:dyDescent="0.2">
      <c r="A12" s="24" t="s">
        <v>157</v>
      </c>
      <c r="B12" s="24">
        <v>121</v>
      </c>
      <c r="C12" s="24">
        <v>435</v>
      </c>
      <c r="D12" s="24">
        <v>3.2800000000000003E-2</v>
      </c>
      <c r="E12" s="24">
        <v>2.3E-2</v>
      </c>
      <c r="F12" s="24"/>
      <c r="G12" s="24"/>
      <c r="H12" s="24"/>
      <c r="I12" s="24"/>
      <c r="J12" s="24"/>
      <c r="K12" s="24"/>
      <c r="L12" s="24" t="s">
        <v>199</v>
      </c>
      <c r="M12" s="14" t="s">
        <v>185</v>
      </c>
      <c r="N12" s="24"/>
      <c r="O12" s="24">
        <f>((LN(B12/E4)-1)+C12)/(D12+E12*B5)</f>
        <v>2937.7153192150731</v>
      </c>
      <c r="P12" s="24"/>
      <c r="Q12" s="24" t="s">
        <v>182</v>
      </c>
      <c r="R12" s="24"/>
      <c r="S12" s="24"/>
      <c r="T12" s="24"/>
    </row>
    <row r="13" spans="1:21" x14ac:dyDescent="0.2">
      <c r="A13" s="14" t="s">
        <v>155</v>
      </c>
      <c r="B13">
        <v>18.899999999999999</v>
      </c>
      <c r="C13">
        <v>81.099999999999994</v>
      </c>
      <c r="D13">
        <v>-3.7399999999999998E-4</v>
      </c>
      <c r="E13">
        <v>-2.4899999999999999E-6</v>
      </c>
      <c r="L13" s="14" t="s">
        <v>158</v>
      </c>
      <c r="M13" s="14" t="s">
        <v>161</v>
      </c>
      <c r="O13" s="21">
        <f>LN((E4-B13)/C13)/(D13+E13*E3)</f>
        <v>12.216454798250243</v>
      </c>
    </row>
    <row r="14" spans="1:21" x14ac:dyDescent="0.2">
      <c r="A14" s="14" t="s">
        <v>145</v>
      </c>
      <c r="B14">
        <v>200</v>
      </c>
      <c r="C14">
        <v>2.8782000000000001</v>
      </c>
      <c r="D14" s="7">
        <v>5.6543999999999996E-6</v>
      </c>
      <c r="L14" s="15" t="s">
        <v>6</v>
      </c>
      <c r="M14" s="19" t="s">
        <v>159</v>
      </c>
      <c r="O14" s="18">
        <f>LN((B14/E4)-1)/(D14*(C14*B4+B5))</f>
        <v>38.708467683617727</v>
      </c>
    </row>
    <row r="15" spans="1:21" x14ac:dyDescent="0.2">
      <c r="A15" s="14" t="s">
        <v>188</v>
      </c>
      <c r="B15">
        <v>200</v>
      </c>
      <c r="C15">
        <v>13.75</v>
      </c>
      <c r="D15">
        <v>2.2732999999999998E-3</v>
      </c>
      <c r="E15">
        <v>2.6522E-2</v>
      </c>
      <c r="L15" s="14" t="s">
        <v>189</v>
      </c>
      <c r="M15" s="14" t="s">
        <v>200</v>
      </c>
      <c r="O15" s="21">
        <f>(1/D15*(LN(B15/E4-1))+C15)/(1+E15*B5)</f>
        <v>15.011812113617927</v>
      </c>
      <c r="Q15" s="14" t="s">
        <v>191</v>
      </c>
      <c r="R15" s="14" t="s">
        <v>192</v>
      </c>
      <c r="U15" t="s">
        <v>207</v>
      </c>
    </row>
    <row r="16" spans="1:21" x14ac:dyDescent="0.2">
      <c r="A16" s="14" t="s">
        <v>215</v>
      </c>
      <c r="B16">
        <v>7.7813999999999994E-2</v>
      </c>
      <c r="C16">
        <v>2.2910000000000001E-3</v>
      </c>
      <c r="E16">
        <v>2143.1999999999998</v>
      </c>
      <c r="F16">
        <v>10.8581</v>
      </c>
      <c r="G16">
        <v>-1.1972E-2</v>
      </c>
      <c r="H16">
        <v>24.728000000000002</v>
      </c>
      <c r="I16">
        <f>'Front Page'!$D$15</f>
        <v>0</v>
      </c>
      <c r="L16" s="14" t="s">
        <v>220</v>
      </c>
      <c r="M16" s="50" t="s">
        <v>221</v>
      </c>
      <c r="O16" s="21"/>
      <c r="Q16" s="14"/>
      <c r="R16" s="14"/>
    </row>
    <row r="17" spans="1:19" x14ac:dyDescent="0.2">
      <c r="A17" s="14" t="s">
        <v>223</v>
      </c>
      <c r="B17" s="14">
        <v>5.3093000000000001E-2</v>
      </c>
      <c r="C17">
        <v>1.8165E-3</v>
      </c>
      <c r="E17">
        <v>2787.6</v>
      </c>
      <c r="F17">
        <v>13.5123</v>
      </c>
      <c r="G17">
        <v>-1.0426E-2</v>
      </c>
      <c r="H17">
        <v>31.431000000000001</v>
      </c>
      <c r="I17">
        <f>'Front Page'!$C$15</f>
        <v>0</v>
      </c>
      <c r="L17" s="14" t="s">
        <v>220</v>
      </c>
      <c r="M17" s="50" t="s">
        <v>221</v>
      </c>
      <c r="O17" s="21"/>
      <c r="Q17" s="14"/>
      <c r="R17" s="14"/>
    </row>
    <row r="18" spans="1:19" x14ac:dyDescent="0.2">
      <c r="A18" s="14" t="s">
        <v>227</v>
      </c>
      <c r="B18">
        <v>8.1874000000000002E-2</v>
      </c>
      <c r="C18">
        <v>2.7082E-3</v>
      </c>
      <c r="E18">
        <v>1830</v>
      </c>
      <c r="F18">
        <v>9.0883000000000003</v>
      </c>
      <c r="G18">
        <v>-1.1133000000000001E-2</v>
      </c>
      <c r="H18">
        <v>20.462</v>
      </c>
      <c r="I18">
        <f>'Front Page'!$E$15</f>
        <v>100</v>
      </c>
      <c r="L18" s="14" t="s">
        <v>220</v>
      </c>
      <c r="M18" s="50" t="s">
        <v>221</v>
      </c>
      <c r="O18" s="21"/>
      <c r="Q18" s="14"/>
      <c r="R18" s="14"/>
    </row>
    <row r="19" spans="1:19" x14ac:dyDescent="0.2">
      <c r="A19" s="117" t="s">
        <v>276</v>
      </c>
      <c r="B19">
        <v>8.2239999999999994E-2</v>
      </c>
      <c r="C19">
        <v>4.3823000000000001E-4</v>
      </c>
      <c r="E19">
        <v>6610.7</v>
      </c>
      <c r="F19">
        <v>8.4371000000000002E-2</v>
      </c>
      <c r="G19">
        <v>77.03</v>
      </c>
      <c r="I19">
        <f>'Front Page'!$D$15</f>
        <v>0</v>
      </c>
      <c r="L19" s="117" t="s">
        <v>279</v>
      </c>
      <c r="M19" s="117" t="s">
        <v>280</v>
      </c>
      <c r="O19" s="21">
        <f>((1/C19)*LN((100-$E$4)/($E$4-B19*I19))+E19-$B$4*G19)/(1+$B$5*F19)</f>
        <v>-4874.1804514064297</v>
      </c>
      <c r="Q19" s="14"/>
      <c r="R19" s="14"/>
    </row>
    <row r="20" spans="1:19" x14ac:dyDescent="0.2">
      <c r="A20" s="117" t="s">
        <v>277</v>
      </c>
      <c r="B20">
        <v>0.12206</v>
      </c>
      <c r="C20">
        <v>6.6257999999999996E-4</v>
      </c>
      <c r="E20">
        <v>4350.1000000000004</v>
      </c>
      <c r="F20">
        <v>7.7323000000000003E-2</v>
      </c>
      <c r="G20">
        <v>50.225000000000001</v>
      </c>
      <c r="I20">
        <f>'Front Page'!$C$15</f>
        <v>0</v>
      </c>
      <c r="L20" s="14"/>
      <c r="M20" s="14"/>
      <c r="O20" s="21">
        <f>((1/C20)*LN((100-$E$4)/($E$4-B20*I20))+E20-$B$4*G20)/(1+$B$5*F20)</f>
        <v>-3316.5186631830998</v>
      </c>
      <c r="Q20" s="14"/>
      <c r="R20" s="14"/>
    </row>
    <row r="21" spans="1:19" x14ac:dyDescent="0.2">
      <c r="A21" s="117" t="s">
        <v>278</v>
      </c>
      <c r="B21">
        <v>0.12981999999999999</v>
      </c>
      <c r="C21">
        <v>7.2342999999999995E-4</v>
      </c>
      <c r="E21">
        <v>4014.6</v>
      </c>
      <c r="F21">
        <v>7.8991000000000006E-2</v>
      </c>
      <c r="G21">
        <v>45.944000000000003</v>
      </c>
      <c r="I21">
        <f>'Front Page'!$E$15</f>
        <v>100</v>
      </c>
      <c r="L21" s="14"/>
      <c r="M21" s="117" t="s">
        <v>280</v>
      </c>
      <c r="O21" s="21">
        <f>((1/C21)*LN((100-$E$4)/($E$4-B21*I21))+E21-$B$4*G21)/(1+$B$5*F21)</f>
        <v>-2858.8545605528375</v>
      </c>
      <c r="Q21" s="14"/>
      <c r="R21" s="14"/>
    </row>
    <row r="22" spans="1:19" s="117" customFormat="1" x14ac:dyDescent="0.2">
      <c r="A22" s="21" t="s">
        <v>390</v>
      </c>
      <c r="D22" s="117">
        <v>4.8949000000000003E-6</v>
      </c>
      <c r="E22" s="117">
        <v>2.3515999999999999</v>
      </c>
      <c r="L22" s="117" t="s">
        <v>298</v>
      </c>
      <c r="M22" s="117" t="s">
        <v>316</v>
      </c>
      <c r="O22" s="117">
        <f>LN((200/$E$4)-1)/(D22*(E22*$B$4+$B$5))</f>
        <v>52.971885930893549</v>
      </c>
    </row>
    <row r="23" spans="1:19" s="117" customFormat="1" x14ac:dyDescent="0.2">
      <c r="A23" s="21" t="s">
        <v>391</v>
      </c>
      <c r="D23" s="117">
        <v>7.0540999999999999E-6</v>
      </c>
      <c r="E23" s="117">
        <v>2.3727</v>
      </c>
      <c r="O23" s="117">
        <f t="shared" ref="O23" si="0">LN((200/$E$4)-1)/(D23*(E23*$B$4+$B$5))</f>
        <v>36.487657165771957</v>
      </c>
    </row>
    <row r="24" spans="1:19" s="117" customFormat="1" x14ac:dyDescent="0.2">
      <c r="A24" s="21" t="s">
        <v>392</v>
      </c>
      <c r="D24" s="117">
        <v>7.6572000000000001E-6</v>
      </c>
      <c r="E24" s="117">
        <v>2.4098000000000002</v>
      </c>
      <c r="O24" s="117">
        <f>LN((200/$E$4)-1)/(D24*(E24*$B$4+$B$5))</f>
        <v>33.185222576729643</v>
      </c>
    </row>
    <row r="25" spans="1:19" x14ac:dyDescent="0.2">
      <c r="A25" s="21" t="s">
        <v>384</v>
      </c>
      <c r="B25">
        <v>9.9011734000000004E-2</v>
      </c>
      <c r="C25">
        <v>2.0443000000000001E-5</v>
      </c>
      <c r="F25">
        <v>0.429601079</v>
      </c>
      <c r="G25">
        <v>0.111128149</v>
      </c>
      <c r="I25">
        <f>'Front Page'!$C$15</f>
        <v>0</v>
      </c>
      <c r="L25" s="117" t="s">
        <v>405</v>
      </c>
      <c r="M25" s="14"/>
      <c r="O25" s="21">
        <f>LN((200-B25*I25)/($E$4-B25*I25)-1)/(C25*($B$4*F25+$B$5+I25*G25))</f>
        <v>38.90779484893735</v>
      </c>
      <c r="Q25" s="14"/>
      <c r="R25" s="14"/>
      <c r="S25" s="14" t="s">
        <v>403</v>
      </c>
    </row>
    <row r="26" spans="1:19" x14ac:dyDescent="0.2">
      <c r="A26" s="21" t="s">
        <v>385</v>
      </c>
      <c r="B26">
        <v>0.14772621799999999</v>
      </c>
      <c r="C26">
        <v>2.8119999999999998E-5</v>
      </c>
      <c r="F26">
        <v>0.45723794499999998</v>
      </c>
      <c r="G26">
        <v>0.17860066299999999</v>
      </c>
      <c r="I26">
        <f>'Front Page'!$D$15</f>
        <v>0</v>
      </c>
      <c r="L26" s="14"/>
      <c r="M26" s="14"/>
      <c r="O26" s="21">
        <f t="shared" ref="O26:O30" si="1">LN((200-B26*I26)/($E$4-B26*I26)-1)/(C26*($B$4*F26+$B$5+I26*G26))</f>
        <v>27.468986944974539</v>
      </c>
      <c r="Q26" s="14"/>
      <c r="R26" s="14"/>
    </row>
    <row r="27" spans="1:19" x14ac:dyDescent="0.2">
      <c r="A27" s="21" t="s">
        <v>386</v>
      </c>
      <c r="B27">
        <v>0.1557431</v>
      </c>
      <c r="C27">
        <v>3.1531E-5</v>
      </c>
      <c r="F27">
        <v>0.43584694600000001</v>
      </c>
      <c r="G27">
        <v>0.175018111</v>
      </c>
      <c r="I27">
        <f>'Front Page'!$E$15</f>
        <v>100</v>
      </c>
      <c r="L27" s="14"/>
      <c r="M27" s="14"/>
      <c r="O27" s="21">
        <f t="shared" si="1"/>
        <v>209.43509232149063</v>
      </c>
      <c r="Q27" s="14"/>
      <c r="R27" s="14"/>
    </row>
    <row r="28" spans="1:19" x14ac:dyDescent="0.2">
      <c r="A28" s="21" t="s">
        <v>393</v>
      </c>
      <c r="B28">
        <v>5.984196E-2</v>
      </c>
      <c r="C28">
        <v>2.8220000000000001E-5</v>
      </c>
      <c r="F28">
        <v>0.27628765999999999</v>
      </c>
      <c r="G28">
        <v>1.048526E-2</v>
      </c>
      <c r="I28">
        <f>'Front Page'!$C$15</f>
        <v>0</v>
      </c>
      <c r="L28" s="14"/>
      <c r="M28" s="14"/>
      <c r="O28" s="21">
        <f t="shared" si="1"/>
        <v>33.751895911357771</v>
      </c>
      <c r="Q28" s="14"/>
      <c r="R28" s="14"/>
    </row>
    <row r="29" spans="1:19" x14ac:dyDescent="0.2">
      <c r="A29" s="21" t="s">
        <v>388</v>
      </c>
      <c r="B29">
        <v>9.0394769999999999E-2</v>
      </c>
      <c r="C29">
        <v>4.2259999999999999E-5</v>
      </c>
      <c r="F29">
        <v>0.26095348000000002</v>
      </c>
      <c r="G29">
        <v>1.3827839999999999E-2</v>
      </c>
      <c r="I29">
        <f>'Front Page'!$D$15</f>
        <v>0</v>
      </c>
      <c r="L29" s="14"/>
      <c r="M29" s="14"/>
      <c r="O29" s="21">
        <f t="shared" si="1"/>
        <v>22.992715459168558</v>
      </c>
      <c r="Q29" s="14"/>
      <c r="R29" s="14"/>
    </row>
    <row r="30" spans="1:19" x14ac:dyDescent="0.2">
      <c r="A30" s="21" t="s">
        <v>389</v>
      </c>
      <c r="B30">
        <v>9.6286377000000006E-2</v>
      </c>
      <c r="C30">
        <v>4.3990999999999999E-5</v>
      </c>
      <c r="F30">
        <v>0.281684771</v>
      </c>
      <c r="G30">
        <v>1.7525461999999999E-2</v>
      </c>
      <c r="I30">
        <f>'Front Page'!$E$15</f>
        <v>100</v>
      </c>
      <c r="L30" s="14"/>
      <c r="M30" s="14"/>
      <c r="O30" s="21">
        <f t="shared" si="1"/>
        <v>259.00393883090334</v>
      </c>
      <c r="Q30" s="14"/>
      <c r="R30" s="14"/>
    </row>
    <row r="31" spans="1:19" x14ac:dyDescent="0.2">
      <c r="A31" s="21"/>
      <c r="L31" s="14"/>
      <c r="M31" s="14"/>
      <c r="O31" s="21"/>
      <c r="Q31" s="14"/>
      <c r="R31" s="14"/>
    </row>
    <row r="32" spans="1:19" x14ac:dyDescent="0.2">
      <c r="A32" s="21"/>
      <c r="L32" s="14"/>
      <c r="M32" s="14"/>
      <c r="O32" s="21"/>
      <c r="Q32" s="14"/>
      <c r="R32" s="14"/>
    </row>
    <row r="33" spans="1:18" x14ac:dyDescent="0.2">
      <c r="A33" s="21"/>
      <c r="L33" s="14"/>
      <c r="M33" s="14"/>
      <c r="O33" s="21"/>
      <c r="Q33" s="14"/>
      <c r="R33" s="14"/>
    </row>
    <row r="34" spans="1:18" x14ac:dyDescent="0.2">
      <c r="A34" s="21"/>
      <c r="L34" s="14"/>
      <c r="M34" s="14"/>
      <c r="O34" s="21"/>
      <c r="Q34" s="14"/>
      <c r="R34" s="14"/>
    </row>
    <row r="35" spans="1:18" x14ac:dyDescent="0.2">
      <c r="A35" s="21"/>
      <c r="L35" s="14"/>
      <c r="M35" s="14"/>
      <c r="O35" s="21"/>
      <c r="Q35" s="14"/>
      <c r="R35" s="14"/>
    </row>
    <row r="36" spans="1:18" x14ac:dyDescent="0.2">
      <c r="A36" s="21"/>
      <c r="L36" s="14"/>
      <c r="M36" s="14"/>
      <c r="O36" s="21"/>
      <c r="Q36" s="14"/>
      <c r="R36" s="14"/>
    </row>
    <row r="37" spans="1:18" x14ac:dyDescent="0.2">
      <c r="A37" s="21"/>
      <c r="L37" s="14"/>
      <c r="M37" s="14"/>
      <c r="O37" s="21"/>
      <c r="Q37" s="14"/>
      <c r="R37" s="14"/>
    </row>
    <row r="38" spans="1:18" x14ac:dyDescent="0.2">
      <c r="A38" s="21"/>
      <c r="L38" s="14"/>
      <c r="M38" s="14"/>
      <c r="O38" s="21"/>
      <c r="Q38" s="14"/>
      <c r="R38" s="14"/>
    </row>
    <row r="39" spans="1:18" x14ac:dyDescent="0.2">
      <c r="A39" s="21"/>
      <c r="L39" s="14"/>
      <c r="M39" s="14"/>
      <c r="O39" s="21"/>
      <c r="Q39" s="14"/>
      <c r="R39" s="14"/>
    </row>
    <row r="40" spans="1:18" x14ac:dyDescent="0.2">
      <c r="A40" s="21"/>
      <c r="L40" s="14"/>
      <c r="M40" s="14"/>
      <c r="O40" s="21"/>
      <c r="Q40" s="14"/>
      <c r="R40" s="14"/>
    </row>
    <row r="41" spans="1:18" x14ac:dyDescent="0.2">
      <c r="A41" s="14"/>
      <c r="L41" s="14"/>
      <c r="M41" s="14"/>
      <c r="O41" s="21"/>
      <c r="Q41" s="14"/>
      <c r="R41" s="14"/>
    </row>
    <row r="42" spans="1:18" x14ac:dyDescent="0.2">
      <c r="M42" s="14"/>
    </row>
    <row r="43" spans="1:18" x14ac:dyDescent="0.2">
      <c r="A43" s="21" t="s">
        <v>151</v>
      </c>
    </row>
    <row r="44" spans="1:18" x14ac:dyDescent="0.2">
      <c r="B44" t="s">
        <v>25</v>
      </c>
      <c r="C44" t="s">
        <v>27</v>
      </c>
      <c r="M44" s="21" t="s">
        <v>216</v>
      </c>
      <c r="N44" s="21"/>
      <c r="O44" s="21" t="s">
        <v>217</v>
      </c>
    </row>
    <row r="45" spans="1:18" x14ac:dyDescent="0.2">
      <c r="B45" s="14" t="s">
        <v>3</v>
      </c>
      <c r="C45" s="14" t="s">
        <v>5</v>
      </c>
      <c r="D45" s="14" t="s">
        <v>4</v>
      </c>
      <c r="E45" s="14" t="s">
        <v>16</v>
      </c>
      <c r="F45" s="14" t="s">
        <v>17</v>
      </c>
      <c r="I45" s="117"/>
    </row>
    <row r="46" spans="1:18" x14ac:dyDescent="0.2">
      <c r="A46" t="s">
        <v>28</v>
      </c>
    </row>
    <row r="47" spans="1:18" x14ac:dyDescent="0.2">
      <c r="A47" s="21" t="s">
        <v>153</v>
      </c>
    </row>
    <row r="48" spans="1:18" x14ac:dyDescent="0.2">
      <c r="A48" t="s">
        <v>30</v>
      </c>
      <c r="M48" s="14" t="s">
        <v>187</v>
      </c>
      <c r="Q48" s="14"/>
    </row>
    <row r="49" spans="1:21" x14ac:dyDescent="0.2">
      <c r="A49" s="24" t="s">
        <v>157</v>
      </c>
      <c r="B49" s="49">
        <v>100</v>
      </c>
      <c r="C49" s="49">
        <v>210</v>
      </c>
      <c r="D49" s="49">
        <v>-7.4599999999999996E-3</v>
      </c>
      <c r="E49" s="49">
        <v>-1.2E-2</v>
      </c>
      <c r="F49" s="24"/>
      <c r="G49" s="24"/>
      <c r="H49" s="24"/>
      <c r="I49" s="24"/>
      <c r="J49" s="24"/>
      <c r="K49" s="24"/>
      <c r="L49" s="24" t="s">
        <v>152</v>
      </c>
      <c r="M49" s="24" t="s">
        <v>187</v>
      </c>
      <c r="N49" s="24"/>
      <c r="O49" s="24">
        <f>((LN(-LN(E4/B49)))+(D49*C49))/(D49+E49*B5)</f>
        <v>106.21094659236519</v>
      </c>
      <c r="P49" s="24"/>
      <c r="Q49" s="24"/>
      <c r="R49" s="24"/>
      <c r="S49" s="24" t="s">
        <v>186</v>
      </c>
      <c r="T49" s="24"/>
      <c r="U49" s="24"/>
    </row>
    <row r="50" spans="1:21" x14ac:dyDescent="0.2">
      <c r="A50" s="14" t="s">
        <v>155</v>
      </c>
      <c r="B50" s="14">
        <v>100</v>
      </c>
      <c r="C50" s="14">
        <v>348</v>
      </c>
      <c r="D50" s="14">
        <v>-2.2699999999999999E-3</v>
      </c>
      <c r="E50" s="14">
        <v>6.43</v>
      </c>
      <c r="F50" s="14"/>
      <c r="G50" s="14"/>
      <c r="H50" s="14"/>
      <c r="I50" s="14"/>
      <c r="J50" s="14"/>
      <c r="K50" s="14"/>
      <c r="L50" s="14" t="s">
        <v>156</v>
      </c>
      <c r="M50" s="14" t="s">
        <v>163</v>
      </c>
      <c r="N50" s="14"/>
      <c r="O50" s="14">
        <f>(LN(-LN(E4/B50))/D50)-C50+(E50*B5)</f>
        <v>2150.4013026964558</v>
      </c>
    </row>
    <row r="51" spans="1:21" x14ac:dyDescent="0.2">
      <c r="A51" t="s">
        <v>145</v>
      </c>
      <c r="B51">
        <v>100</v>
      </c>
      <c r="C51" s="6">
        <v>-382.73</v>
      </c>
      <c r="D51" s="6">
        <v>3.3555E-3</v>
      </c>
      <c r="E51" s="6">
        <v>-4.1074000000000002</v>
      </c>
      <c r="F51" s="6">
        <v>-1.5271999999999999</v>
      </c>
      <c r="L51" s="15" t="s">
        <v>47</v>
      </c>
      <c r="O51" s="21">
        <f>LN(-LN(E4/B51))/(D51*-1)+C51-(E51*B4)-(F51*B5)</f>
        <v>1334.4021299719727</v>
      </c>
    </row>
    <row r="52" spans="1:21" x14ac:dyDescent="0.2">
      <c r="A52" s="14" t="s">
        <v>188</v>
      </c>
      <c r="B52">
        <v>100</v>
      </c>
      <c r="C52">
        <v>194.26</v>
      </c>
      <c r="D52">
        <v>-7.9805999999999992E-3</v>
      </c>
      <c r="E52">
        <v>1.2031999999999999E-2</v>
      </c>
      <c r="L52" s="14" t="s">
        <v>198</v>
      </c>
      <c r="M52" s="19" t="s">
        <v>201</v>
      </c>
      <c r="O52" s="21">
        <f>((1/D52)*LN(LN(B52/E4))+C52)/(1+E52*B5)</f>
        <v>844.92901496523848</v>
      </c>
      <c r="P52">
        <f>((LN(-LN(E4/B52))/D52)+C52)/(1+E52*B5)</f>
        <v>844.92901496523677</v>
      </c>
      <c r="Q52" s="14" t="s">
        <v>195</v>
      </c>
      <c r="R52" s="50" t="s">
        <v>204</v>
      </c>
      <c r="T52" t="s">
        <v>205</v>
      </c>
      <c r="U52" t="s">
        <v>206</v>
      </c>
    </row>
    <row r="53" spans="1:21" x14ac:dyDescent="0.2">
      <c r="A53" s="14" t="s">
        <v>215</v>
      </c>
      <c r="B53">
        <v>100</v>
      </c>
      <c r="C53" s="82">
        <v>34.673000000000002</v>
      </c>
      <c r="D53">
        <v>-5.6081999999999998E-3</v>
      </c>
      <c r="E53">
        <v>-7.524</v>
      </c>
      <c r="F53">
        <v>-1.6266799999999999</v>
      </c>
      <c r="L53" s="14" t="s">
        <v>218</v>
      </c>
      <c r="M53" s="14" t="s">
        <v>222</v>
      </c>
    </row>
    <row r="54" spans="1:21" x14ac:dyDescent="0.2">
      <c r="A54" s="14" t="s">
        <v>223</v>
      </c>
      <c r="B54">
        <v>100</v>
      </c>
      <c r="C54" s="82">
        <v>13.45</v>
      </c>
      <c r="D54">
        <v>-3.7406000000000002E-3</v>
      </c>
      <c r="E54">
        <v>-11.2944</v>
      </c>
      <c r="F54">
        <v>-2.2780999999999998</v>
      </c>
      <c r="L54" s="14" t="s">
        <v>218</v>
      </c>
      <c r="M54" s="14" t="s">
        <v>222</v>
      </c>
    </row>
    <row r="55" spans="1:21" x14ac:dyDescent="0.2">
      <c r="A55" s="14" t="s">
        <v>227</v>
      </c>
      <c r="B55">
        <v>100</v>
      </c>
      <c r="C55">
        <v>40.328000000000003</v>
      </c>
      <c r="D55">
        <v>-6.0949000000000003E-3</v>
      </c>
      <c r="E55">
        <v>-6.9420000000000002</v>
      </c>
      <c r="F55">
        <v>-1.5782</v>
      </c>
      <c r="L55" s="14" t="s">
        <v>218</v>
      </c>
      <c r="M55" s="14" t="s">
        <v>222</v>
      </c>
    </row>
    <row r="56" spans="1:21" x14ac:dyDescent="0.2">
      <c r="A56" s="117" t="s">
        <v>276</v>
      </c>
      <c r="B56">
        <v>100</v>
      </c>
      <c r="C56">
        <v>535.1</v>
      </c>
      <c r="D56">
        <v>-2.7637E-3</v>
      </c>
      <c r="E56">
        <v>-7.7781000000000002</v>
      </c>
      <c r="F56">
        <v>-8.5952000000000002</v>
      </c>
      <c r="L56" s="117" t="s">
        <v>218</v>
      </c>
      <c r="M56" s="14" t="s">
        <v>222</v>
      </c>
      <c r="O56" s="21">
        <f>(LN(-LN($E$4/B56))/D56)-C56-$B$5*E56-$B$4*F56</f>
        <v>1615.4292449871384</v>
      </c>
    </row>
    <row r="57" spans="1:21" x14ac:dyDescent="0.2">
      <c r="A57" s="117" t="s">
        <v>277</v>
      </c>
      <c r="B57">
        <v>100</v>
      </c>
      <c r="C57">
        <v>361.18</v>
      </c>
      <c r="D57">
        <v>-4.1809999999999998E-3</v>
      </c>
      <c r="E57">
        <v>-5.2690000000000001</v>
      </c>
      <c r="F57">
        <v>-5.7933000000000003</v>
      </c>
      <c r="O57" s="21">
        <f>(LN(-LN($E$4/B57))/D57)-C57-$B$5*E57-$B$4*F57</f>
        <v>1062.105523827064</v>
      </c>
    </row>
    <row r="58" spans="1:21" x14ac:dyDescent="0.2">
      <c r="A58" s="117" t="s">
        <v>278</v>
      </c>
      <c r="B58">
        <v>100</v>
      </c>
      <c r="C58">
        <v>342.31</v>
      </c>
      <c r="D58">
        <v>-4.4129E-3</v>
      </c>
      <c r="E58">
        <v>-4.9793000000000003</v>
      </c>
      <c r="F58">
        <v>-5.4916</v>
      </c>
      <c r="M58" s="14"/>
      <c r="O58" s="21">
        <f>(LN(-LN($E$4/B58))/D58)-C58-$B$5*E58-$B$4*F58</f>
        <v>1006.1445397291927</v>
      </c>
    </row>
    <row r="59" spans="1:21" s="21" customFormat="1" x14ac:dyDescent="0.2">
      <c r="A59" s="21" t="s">
        <v>390</v>
      </c>
      <c r="C59" s="21">
        <v>-542.67999999999995</v>
      </c>
      <c r="D59" s="21">
        <v>-1.9349E-3</v>
      </c>
      <c r="E59" s="21">
        <v>-6.1993999999999998</v>
      </c>
      <c r="F59" s="21">
        <v>-2.1732</v>
      </c>
      <c r="L59" s="21" t="s">
        <v>404</v>
      </c>
      <c r="M59" s="21" t="s">
        <v>297</v>
      </c>
      <c r="O59" s="21">
        <f>(LN(-LN($E$4/100))/D59)+C59-$B$4*E59-$B$5*F59</f>
        <v>2423.5545708413638</v>
      </c>
    </row>
    <row r="60" spans="1:21" s="21" customFormat="1" x14ac:dyDescent="0.2">
      <c r="A60" s="21" t="s">
        <v>391</v>
      </c>
      <c r="C60" s="21">
        <v>-369.52</v>
      </c>
      <c r="D60" s="21">
        <v>-2.8693999999999998E-3</v>
      </c>
      <c r="E60" s="21">
        <v>-4.1516999999999999</v>
      </c>
      <c r="F60" s="21">
        <v>-1.4601</v>
      </c>
      <c r="O60" s="21">
        <f t="shared" ref="O60:O67" si="2">(LN(-LN($E$4/100))/D60)+C60-$B$4*E60-$B$5*F60</f>
        <v>1630.3640843454923</v>
      </c>
    </row>
    <row r="61" spans="1:21" s="21" customFormat="1" x14ac:dyDescent="0.2">
      <c r="A61" s="21" t="s">
        <v>392</v>
      </c>
      <c r="C61" s="21">
        <v>-344.64</v>
      </c>
      <c r="D61" s="21">
        <v>-3.0847000000000001E-3</v>
      </c>
      <c r="E61" s="21">
        <v>-3.88</v>
      </c>
      <c r="F61" s="21">
        <v>-1.3586</v>
      </c>
      <c r="O61" s="21">
        <f t="shared" si="2"/>
        <v>1515.842764684071</v>
      </c>
    </row>
    <row r="62" spans="1:21" x14ac:dyDescent="0.2">
      <c r="A62" s="117" t="s">
        <v>384</v>
      </c>
      <c r="C62">
        <v>-535.09620219999999</v>
      </c>
      <c r="D62">
        <v>-2.7637E-3</v>
      </c>
      <c r="E62">
        <v>-8.5952318999999999</v>
      </c>
      <c r="F62">
        <v>-7.7780743000000001</v>
      </c>
      <c r="L62" t="s">
        <v>299</v>
      </c>
      <c r="O62" s="21">
        <f t="shared" si="2"/>
        <v>1615.4332332871384</v>
      </c>
      <c r="Q62" s="117" t="s">
        <v>402</v>
      </c>
      <c r="R62" t="s">
        <v>317</v>
      </c>
    </row>
    <row r="63" spans="1:21" x14ac:dyDescent="0.2">
      <c r="A63" s="117" t="s">
        <v>385</v>
      </c>
      <c r="C63">
        <v>-361.18468630000001</v>
      </c>
      <c r="D63">
        <v>-4.1809000000000004E-3</v>
      </c>
      <c r="E63">
        <v>-5.7932845999999998</v>
      </c>
      <c r="F63">
        <v>-5.2689541999999996</v>
      </c>
      <c r="O63" s="21">
        <f t="shared" si="2"/>
        <v>1062.1324813041651</v>
      </c>
    </row>
    <row r="64" spans="1:21" x14ac:dyDescent="0.2">
      <c r="A64" s="117" t="s">
        <v>386</v>
      </c>
      <c r="C64">
        <v>-342.30656670000002</v>
      </c>
      <c r="D64">
        <v>-4.4129E-3</v>
      </c>
      <c r="E64">
        <v>-5.4916267999999997</v>
      </c>
      <c r="F64">
        <v>-4.9793162000000004</v>
      </c>
      <c r="O64" s="21">
        <f t="shared" si="2"/>
        <v>1006.1483220291925</v>
      </c>
    </row>
    <row r="65" spans="1:15" x14ac:dyDescent="0.2">
      <c r="A65" s="117" t="s">
        <v>387</v>
      </c>
      <c r="C65">
        <v>-13.4996622</v>
      </c>
      <c r="D65">
        <v>-3.7406000000000002E-3</v>
      </c>
      <c r="E65">
        <v>-2.2780520000000002</v>
      </c>
      <c r="F65">
        <v>-11.294380800000001</v>
      </c>
      <c r="O65" s="21">
        <f t="shared" si="2"/>
        <v>1562.4085007512256</v>
      </c>
    </row>
    <row r="66" spans="1:15" x14ac:dyDescent="0.2">
      <c r="A66" s="117" t="s">
        <v>388</v>
      </c>
      <c r="C66">
        <v>-40.328061499999997</v>
      </c>
      <c r="D66">
        <v>-6.0948E-3</v>
      </c>
      <c r="E66">
        <v>-1.5782354999999999</v>
      </c>
      <c r="F66">
        <v>-6.9423063999999997</v>
      </c>
      <c r="O66" s="21">
        <f t="shared" si="2"/>
        <v>928.71778079319336</v>
      </c>
    </row>
    <row r="67" spans="1:15" x14ac:dyDescent="0.2">
      <c r="A67" s="117" t="s">
        <v>389</v>
      </c>
      <c r="C67">
        <v>-16.7921899</v>
      </c>
      <c r="D67">
        <v>-4.9439000000000002E-3</v>
      </c>
      <c r="E67">
        <v>-1.6247252999999999</v>
      </c>
      <c r="F67">
        <v>-6.9316506000000002</v>
      </c>
      <c r="O67" s="21">
        <f t="shared" si="2"/>
        <v>1166.4967496486063</v>
      </c>
    </row>
    <row r="68" spans="1:15" x14ac:dyDescent="0.2">
      <c r="A68" s="117"/>
    </row>
  </sheetData>
  <phoneticPr fontId="3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Information</vt:lpstr>
      <vt:lpstr>Front Page</vt:lpstr>
      <vt:lpstr>GrowthEqns</vt:lpstr>
      <vt:lpstr>Herbicides</vt:lpstr>
      <vt:lpstr>ChartData</vt:lpstr>
      <vt:lpstr>Equations</vt:lpstr>
      <vt:lpstr>Models</vt:lpstr>
      <vt:lpstr>Table_herbicides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David Thornby</cp:lastModifiedBy>
  <cp:lastPrinted>2017-10-24T04:37:43Z</cp:lastPrinted>
  <dcterms:created xsi:type="dcterms:W3CDTF">1996-10-14T23:33:28Z</dcterms:created>
  <dcterms:modified xsi:type="dcterms:W3CDTF">2026-06-10T00:17:40Z</dcterms:modified>
</cp:coreProperties>
</file>